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25" windowHeight="12135" tabRatio="973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r:id="rId26"/>
    <sheet name="642 FF RATES" sheetId="131" r:id="rId27"/>
    <sheet name="642 LONGEVITY" sheetId="143" r:id="rId28"/>
    <sheet name="642 CERT PAY" sheetId="144" r:id="rId29"/>
    <sheet name="643 RECOGNITION" sheetId="133" r:id="rId30"/>
    <sheet name="644 CERTIFICATIONS" sheetId="132" r:id="rId31"/>
    <sheet name="645 RECRUITMENT" sheetId="136" r:id="rId32"/>
    <sheet name="651 BLDG GROUND MAINT" sheetId="74" r:id="rId33"/>
    <sheet name="652 OFFICE SUPPLIES" sheetId="77" r:id="rId34"/>
    <sheet name="653 STATION SUPPLIES" sheetId="75" r:id="rId35"/>
    <sheet name="654 BANK FEES" sheetId="80" r:id="rId36"/>
    <sheet name="655 DUES AND SUBSCRIPTIONS" sheetId="79" r:id="rId37"/>
    <sheet name="656 INFORMATION TECHNOLOGY" sheetId="88" r:id="rId38"/>
    <sheet name="657 POSTAGE" sheetId="86" r:id="rId39"/>
    <sheet name="658 PROP &amp; LIABILITY" sheetId="135" r:id="rId40"/>
    <sheet name="659 PROFESSIONAL SVCS" sheetId="85" r:id="rId41"/>
    <sheet name="660 PUBLIC NOTICES" sheetId="83" r:id="rId42"/>
    <sheet name="661 TELEPHONE" sheetId="15" r:id="rId43"/>
    <sheet name="662 UTILITIES" sheetId="16" r:id="rId44"/>
    <sheet name="663 BOND DEBT SVC" sheetId="90" r:id="rId45"/>
    <sheet name="664 TCESD COMPENSATION" sheetId="101" r:id="rId46"/>
    <sheet name="665 GRANT MATCHING" sheetId="137" r:id="rId47"/>
    <sheet name="666 CONTRACT SERVICES" sheetId="139" state="hidden" r:id="rId48"/>
    <sheet name="671 PREVENTION" sheetId="134" r:id="rId49"/>
    <sheet name="672 PUBLIC EDUCATION" sheetId="102" r:id="rId50"/>
  </sheets>
  <definedNames>
    <definedName name="_xlnm._FilterDatabase" localSheetId="21" hidden="1">'635 EMT CERT COURSE'!$A$6:$C$11</definedName>
    <definedName name="_xlnm.Print_Area" localSheetId="27">'642 LONGEVITY'!$A$1:$M$31</definedName>
    <definedName name="_xlnm.Print_Titles" localSheetId="18">'632 FIRE &amp; RESCUE TRAINING'!$1:$2</definedName>
  </definedNames>
  <calcPr calcId="125725"/>
</workbook>
</file>

<file path=xl/calcChain.xml><?xml version="1.0" encoding="utf-8"?>
<calcChain xmlns="http://schemas.openxmlformats.org/spreadsheetml/2006/main">
  <c r="F5" i="120"/>
  <c r="K39" i="151" l="1"/>
  <c r="E39"/>
  <c r="C40"/>
  <c r="E40" s="1"/>
  <c r="G40" s="1"/>
  <c r="K40" s="1"/>
  <c r="I40"/>
  <c r="F10" i="65"/>
  <c r="F9"/>
  <c r="F4" i="120"/>
  <c r="F18" i="88"/>
  <c r="M6" i="151"/>
  <c r="M38"/>
  <c r="M41"/>
  <c r="M39"/>
  <c r="M3"/>
  <c r="F11" i="135"/>
  <c r="F10"/>
  <c r="F9"/>
  <c r="F8"/>
  <c r="F7"/>
  <c r="F6"/>
  <c r="F8" i="80"/>
  <c r="E21" i="153"/>
  <c r="G10" i="141" l="1"/>
  <c r="G13"/>
  <c r="G14"/>
  <c r="M10" i="151"/>
  <c r="M16"/>
  <c r="M18"/>
  <c r="H5" i="141" l="1"/>
  <c r="F15" i="140"/>
  <c r="F11" i="100" l="1"/>
  <c r="F20" i="74"/>
  <c r="F24"/>
  <c r="F14"/>
  <c r="F7"/>
  <c r="F6"/>
  <c r="F16" i="8"/>
  <c r="F8" i="90"/>
  <c r="F9"/>
  <c r="F12" i="16"/>
  <c r="F11"/>
  <c r="F10"/>
  <c r="F8"/>
  <c r="F7"/>
  <c r="F6"/>
  <c r="F5"/>
  <c r="F13"/>
  <c r="F5" i="15"/>
  <c r="F4"/>
  <c r="F6" i="88"/>
  <c r="F8" i="77"/>
  <c r="E20" i="153"/>
  <c r="F6" i="64"/>
  <c r="E6" i="153"/>
  <c r="F9" i="16"/>
  <c r="F9" i="85"/>
  <c r="F17" i="132"/>
  <c r="F12"/>
  <c r="F11"/>
  <c r="F7"/>
  <c r="F9"/>
  <c r="F33" i="125"/>
  <c r="F15" i="126"/>
  <c r="F6" i="65"/>
  <c r="F5" i="119"/>
  <c r="C23" i="67"/>
  <c r="D23"/>
  <c r="F23"/>
  <c r="E23"/>
  <c r="F5" i="116" l="1"/>
  <c r="F19"/>
  <c r="F17"/>
  <c r="F15"/>
  <c r="F12"/>
  <c r="F10"/>
  <c r="D9" i="105"/>
  <c r="D11" s="1"/>
  <c r="D32" i="117" l="1"/>
  <c r="D13"/>
  <c r="D41"/>
  <c r="D40"/>
  <c r="D39"/>
  <c r="D38"/>
  <c r="D31"/>
  <c r="D30"/>
  <c r="D26"/>
  <c r="D22"/>
  <c r="D21"/>
  <c r="D20"/>
  <c r="D19"/>
  <c r="D15"/>
  <c r="D14"/>
  <c r="D12"/>
  <c r="D8"/>
  <c r="D5"/>
  <c r="D7"/>
  <c r="D4"/>
  <c r="J51" i="151"/>
  <c r="I51"/>
  <c r="H51"/>
  <c r="F22" i="74" l="1"/>
  <c r="I42" i="151"/>
  <c r="I41"/>
  <c r="I39"/>
  <c r="I38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F21" i="74" l="1"/>
  <c r="F6" i="101" l="1"/>
  <c r="F7" i="15"/>
  <c r="E4"/>
  <c r="F11" i="88"/>
  <c r="F17"/>
  <c r="F9"/>
  <c r="F16" i="79"/>
  <c r="F13" i="65"/>
  <c r="F14" l="1"/>
  <c r="F8"/>
  <c r="F7"/>
  <c r="F7" i="105" l="1"/>
  <c r="I7" s="1"/>
  <c r="F4"/>
  <c r="I4" s="1"/>
  <c r="F2"/>
  <c r="H4"/>
  <c r="M47" i="151"/>
  <c r="M46"/>
  <c r="M45"/>
  <c r="M42"/>
  <c r="M34"/>
  <c r="C28"/>
  <c r="E28" s="1"/>
  <c r="C29"/>
  <c r="E29" s="1"/>
  <c r="E6" i="101"/>
  <c r="E7" i="15"/>
  <c r="E5"/>
  <c r="E9" i="85"/>
  <c r="E9" i="88"/>
  <c r="E16" i="79"/>
  <c r="E14" i="77"/>
  <c r="E8"/>
  <c r="E20" i="74"/>
  <c r="E14"/>
  <c r="E13"/>
  <c r="E8"/>
  <c r="E7"/>
  <c r="E6"/>
  <c r="E18" i="136"/>
  <c r="D18"/>
  <c r="C18"/>
  <c r="D24" i="132"/>
  <c r="C24"/>
  <c r="E17"/>
  <c r="E12"/>
  <c r="E24" s="1"/>
  <c r="E11"/>
  <c r="E9"/>
  <c r="E7"/>
  <c r="E15" i="153"/>
  <c r="E16"/>
  <c r="E17"/>
  <c r="E18"/>
  <c r="E6" i="140"/>
  <c r="E17" i="69"/>
  <c r="E5" i="112"/>
  <c r="C6" i="115"/>
  <c r="E6"/>
  <c r="E19" i="116"/>
  <c r="E17"/>
  <c r="E15"/>
  <c r="E14"/>
  <c r="E12"/>
  <c r="E10"/>
  <c r="E8"/>
  <c r="E10" i="65"/>
  <c r="E9"/>
  <c r="E8"/>
  <c r="E7"/>
  <c r="E6"/>
  <c r="E12" i="8"/>
  <c r="D10"/>
  <c r="D9"/>
  <c r="D8"/>
  <c r="E5" i="118"/>
  <c r="E5" i="119"/>
  <c r="E5" i="120"/>
  <c r="E4"/>
  <c r="G25" i="141"/>
  <c r="G67" i="151"/>
  <c r="G66"/>
  <c r="G65"/>
  <c r="G58"/>
  <c r="G57"/>
  <c r="G56"/>
  <c r="G55"/>
  <c r="H7" i="105" l="1"/>
  <c r="H2"/>
  <c r="I2"/>
  <c r="F29" i="151"/>
  <c r="G29" s="1"/>
  <c r="K29" s="1"/>
  <c r="F28"/>
  <c r="G28" s="1"/>
  <c r="K28" s="1"/>
  <c r="B51"/>
  <c r="E32" i="117"/>
  <c r="E31"/>
  <c r="E30"/>
  <c r="E26"/>
  <c r="E22"/>
  <c r="E21"/>
  <c r="E20"/>
  <c r="E19"/>
  <c r="E15"/>
  <c r="E14"/>
  <c r="E13"/>
  <c r="E12"/>
  <c r="E8"/>
  <c r="E7"/>
  <c r="E4"/>
  <c r="E5"/>
  <c r="E6"/>
  <c r="F6" i="153" l="1"/>
  <c r="F3" i="105" l="1"/>
  <c r="I3" l="1"/>
  <c r="H3"/>
  <c r="F23" i="88"/>
  <c r="F40" i="105" s="1"/>
  <c r="E14" i="8"/>
  <c r="F10" i="153"/>
  <c r="F20"/>
  <c r="H40" i="105" l="1"/>
  <c r="I40"/>
  <c r="F16" i="135"/>
  <c r="F42" i="105" s="1"/>
  <c r="I42" l="1"/>
  <c r="H42"/>
  <c r="F20"/>
  <c r="I20" l="1"/>
  <c r="H20"/>
  <c r="B31" i="151"/>
  <c r="I31"/>
  <c r="H31"/>
  <c r="C39" l="1"/>
  <c r="C42" l="1"/>
  <c r="C41"/>
  <c r="C38"/>
  <c r="C47"/>
  <c r="E47" s="1"/>
  <c r="C46"/>
  <c r="C45"/>
  <c r="E45" s="1"/>
  <c r="C18"/>
  <c r="E18" s="1"/>
  <c r="C17"/>
  <c r="F17" s="1"/>
  <c r="C16"/>
  <c r="C15"/>
  <c r="C14"/>
  <c r="C13"/>
  <c r="C12"/>
  <c r="C11"/>
  <c r="C10"/>
  <c r="C9"/>
  <c r="C8"/>
  <c r="C7"/>
  <c r="C6"/>
  <c r="C5"/>
  <c r="C4"/>
  <c r="C3"/>
  <c r="C2"/>
  <c r="M44" s="1"/>
  <c r="C44" s="1"/>
  <c r="E44" s="1"/>
  <c r="G44" s="1"/>
  <c r="K44" s="1"/>
  <c r="C27"/>
  <c r="E27" s="1"/>
  <c r="C26"/>
  <c r="E26" s="1"/>
  <c r="C25"/>
  <c r="F25" s="1"/>
  <c r="C24"/>
  <c r="E24" s="1"/>
  <c r="C23"/>
  <c r="F23" s="1"/>
  <c r="C22"/>
  <c r="E22" s="1"/>
  <c r="C21"/>
  <c r="E21" s="1"/>
  <c r="C20"/>
  <c r="F20" s="1"/>
  <c r="C19"/>
  <c r="F19" s="1"/>
  <c r="C31" l="1"/>
  <c r="E25"/>
  <c r="E23"/>
  <c r="G23" s="1"/>
  <c r="K23" s="1"/>
  <c r="F27"/>
  <c r="F21"/>
  <c r="G21" s="1"/>
  <c r="K21" s="1"/>
  <c r="E19"/>
  <c r="G19" s="1"/>
  <c r="K19" s="1"/>
  <c r="G25"/>
  <c r="K25" s="1"/>
  <c r="F22"/>
  <c r="G22" s="1"/>
  <c r="K22" s="1"/>
  <c r="F24"/>
  <c r="G24" s="1"/>
  <c r="K24" s="1"/>
  <c r="F26"/>
  <c r="G26" s="1"/>
  <c r="K26" s="1"/>
  <c r="G27"/>
  <c r="K27" s="1"/>
  <c r="E17"/>
  <c r="G17" s="1"/>
  <c r="K17" s="1"/>
  <c r="F18"/>
  <c r="G18" s="1"/>
  <c r="K18" s="1"/>
  <c r="E20"/>
  <c r="G20" s="1"/>
  <c r="K20" s="1"/>
  <c r="C13" i="137"/>
  <c r="D13"/>
  <c r="E13"/>
  <c r="F13"/>
  <c r="F49" i="105" s="1"/>
  <c r="B13" i="137"/>
  <c r="B12"/>
  <c r="B15" i="135"/>
  <c r="E37" i="117"/>
  <c r="E38"/>
  <c r="E39"/>
  <c r="E40"/>
  <c r="E41"/>
  <c r="E42"/>
  <c r="E43"/>
  <c r="E44"/>
  <c r="E36"/>
  <c r="F14" i="102"/>
  <c r="F51" i="105" s="1"/>
  <c r="F15" i="134"/>
  <c r="F50" i="105" s="1"/>
  <c r="F14" i="139"/>
  <c r="F11" i="101"/>
  <c r="F48" i="105" s="1"/>
  <c r="F14" i="90"/>
  <c r="F47" i="105" s="1"/>
  <c r="F17" i="16"/>
  <c r="F46" i="105" s="1"/>
  <c r="F12" i="15"/>
  <c r="F45" i="105" s="1"/>
  <c r="F13" i="83"/>
  <c r="F44" i="105" s="1"/>
  <c r="F14" i="85"/>
  <c r="F43" i="105" s="1"/>
  <c r="F13" i="86"/>
  <c r="F41" i="105" s="1"/>
  <c r="H44" l="1"/>
  <c r="I44"/>
  <c r="H48"/>
  <c r="I48"/>
  <c r="H51"/>
  <c r="I51"/>
  <c r="I47"/>
  <c r="H47"/>
  <c r="H45"/>
  <c r="I45"/>
  <c r="I41"/>
  <c r="H41"/>
  <c r="I49"/>
  <c r="H49"/>
  <c r="I46"/>
  <c r="H46"/>
  <c r="I43"/>
  <c r="H43"/>
  <c r="I50"/>
  <c r="H50"/>
  <c r="F24" i="79"/>
  <c r="F39" i="105" s="1"/>
  <c r="F13" i="80"/>
  <c r="F38" i="105" s="1"/>
  <c r="F16" i="75"/>
  <c r="F37" i="105" s="1"/>
  <c r="F20" i="77"/>
  <c r="F36" i="105" s="1"/>
  <c r="F26" i="74"/>
  <c r="F35" i="105" s="1"/>
  <c r="F18" i="136"/>
  <c r="F34" i="105" s="1"/>
  <c r="F24" i="132"/>
  <c r="F33" i="105" s="1"/>
  <c r="F14" i="133"/>
  <c r="F32" i="105" s="1"/>
  <c r="E12" i="147"/>
  <c r="F29" i="105" s="1"/>
  <c r="F19" i="140"/>
  <c r="F28" i="105" s="1"/>
  <c r="F22" i="126"/>
  <c r="F27" i="105" s="1"/>
  <c r="F31" i="69"/>
  <c r="F26" i="105" s="1"/>
  <c r="F8" i="112"/>
  <c r="F25" i="105" s="1"/>
  <c r="F10" i="122"/>
  <c r="F18" i="123"/>
  <c r="F22" i="116"/>
  <c r="F28" i="100"/>
  <c r="F22" i="105" s="1"/>
  <c r="F23" i="95"/>
  <c r="F21" i="105" s="1"/>
  <c r="F9" i="113"/>
  <c r="F19" i="105" s="1"/>
  <c r="F17" i="65"/>
  <c r="F18" i="105" s="1"/>
  <c r="F11" i="64"/>
  <c r="F17" i="105" s="1"/>
  <c r="E11" i="118"/>
  <c r="E12" i="119"/>
  <c r="E12" i="120"/>
  <c r="F25" i="141"/>
  <c r="E41" i="151"/>
  <c r="E24" i="79"/>
  <c r="E18" i="123"/>
  <c r="E14" i="131"/>
  <c r="E11"/>
  <c r="E8"/>
  <c r="E5"/>
  <c r="E31" i="69"/>
  <c r="D31"/>
  <c r="C31"/>
  <c r="B31"/>
  <c r="E11" i="64"/>
  <c r="D11"/>
  <c r="C11"/>
  <c r="B11"/>
  <c r="D12" i="119"/>
  <c r="I25" i="105" l="1"/>
  <c r="H25"/>
  <c r="I38"/>
  <c r="H38"/>
  <c r="H36"/>
  <c r="I36"/>
  <c r="I19"/>
  <c r="H19"/>
  <c r="I17"/>
  <c r="H17"/>
  <c r="H37"/>
  <c r="I37"/>
  <c r="I34"/>
  <c r="H34"/>
  <c r="H33"/>
  <c r="I33"/>
  <c r="H32"/>
  <c r="I32"/>
  <c r="I29"/>
  <c r="H29"/>
  <c r="I28"/>
  <c r="H28"/>
  <c r="I26"/>
  <c r="H26"/>
  <c r="F24"/>
  <c r="I24" s="1"/>
  <c r="H18"/>
  <c r="I18"/>
  <c r="I21"/>
  <c r="H21"/>
  <c r="I22"/>
  <c r="H22"/>
  <c r="H39"/>
  <c r="I39"/>
  <c r="H27"/>
  <c r="I27"/>
  <c r="H35"/>
  <c r="I35"/>
  <c r="F6" i="115"/>
  <c r="G63" i="151"/>
  <c r="G62"/>
  <c r="C27" i="153"/>
  <c r="B27"/>
  <c r="D14" i="102"/>
  <c r="C14"/>
  <c r="B14"/>
  <c r="D15" i="134"/>
  <c r="C15"/>
  <c r="B15"/>
  <c r="D14" i="139"/>
  <c r="C14"/>
  <c r="B14"/>
  <c r="D11" i="101"/>
  <c r="C11"/>
  <c r="B11"/>
  <c r="D14" i="90"/>
  <c r="C14"/>
  <c r="B14"/>
  <c r="D17" i="16"/>
  <c r="C17"/>
  <c r="B17"/>
  <c r="D12" i="15"/>
  <c r="C12"/>
  <c r="B12"/>
  <c r="D13" i="83"/>
  <c r="C13"/>
  <c r="B13"/>
  <c r="D14" i="85"/>
  <c r="C14"/>
  <c r="B14"/>
  <c r="D16" i="135"/>
  <c r="C16"/>
  <c r="B16"/>
  <c r="D13" i="86"/>
  <c r="C13"/>
  <c r="B13"/>
  <c r="D23" i="88"/>
  <c r="C23"/>
  <c r="B23"/>
  <c r="D24" i="79"/>
  <c r="C24"/>
  <c r="B24"/>
  <c r="D13" i="80"/>
  <c r="C13"/>
  <c r="B13"/>
  <c r="D16" i="75"/>
  <c r="C16"/>
  <c r="B16"/>
  <c r="D20" i="77"/>
  <c r="C20"/>
  <c r="B20"/>
  <c r="D26" i="74"/>
  <c r="C26"/>
  <c r="B26"/>
  <c r="B18" i="136"/>
  <c r="B24" i="132"/>
  <c r="D14" i="133"/>
  <c r="C14"/>
  <c r="B14"/>
  <c r="G47" i="151"/>
  <c r="K47" s="1"/>
  <c r="C12" i="147"/>
  <c r="B12"/>
  <c r="D19" i="140"/>
  <c r="C19"/>
  <c r="B19"/>
  <c r="D33" i="125"/>
  <c r="C33"/>
  <c r="B33"/>
  <c r="D22" i="126"/>
  <c r="C22"/>
  <c r="B22"/>
  <c r="D8" i="112"/>
  <c r="C8"/>
  <c r="B8"/>
  <c r="D10" i="122"/>
  <c r="C10"/>
  <c r="B10"/>
  <c r="D18" i="123"/>
  <c r="C18"/>
  <c r="B18"/>
  <c r="D22" i="116"/>
  <c r="D6" i="115" s="1"/>
  <c r="C22" i="116"/>
  <c r="B22"/>
  <c r="C12" i="115"/>
  <c r="B12"/>
  <c r="D28" i="100"/>
  <c r="C28"/>
  <c r="B28"/>
  <c r="D23" i="95"/>
  <c r="C23"/>
  <c r="B23"/>
  <c r="B23" i="67"/>
  <c r="D9" i="113"/>
  <c r="C9"/>
  <c r="B9"/>
  <c r="D17" i="65"/>
  <c r="C17"/>
  <c r="B17"/>
  <c r="H24" i="105" l="1"/>
  <c r="C14" i="8"/>
  <c r="B14"/>
  <c r="D11" i="118"/>
  <c r="C11"/>
  <c r="B11"/>
  <c r="C12" i="119"/>
  <c r="B12"/>
  <c r="F12" i="120"/>
  <c r="F13" i="105" s="1"/>
  <c r="D12" i="120"/>
  <c r="C12"/>
  <c r="B12"/>
  <c r="H18" i="141"/>
  <c r="F9" i="105" s="1"/>
  <c r="H16" i="141"/>
  <c r="F8" i="105" s="1"/>
  <c r="H12" i="141"/>
  <c r="F6" i="105" s="1"/>
  <c r="H9" i="141"/>
  <c r="F5" i="105" s="1"/>
  <c r="I9" l="1"/>
  <c r="H9"/>
  <c r="I6"/>
  <c r="H6"/>
  <c r="I13"/>
  <c r="H13"/>
  <c r="I8"/>
  <c r="H8"/>
  <c r="I5"/>
  <c r="H5"/>
  <c r="F11"/>
  <c r="E14" i="139"/>
  <c r="E14" i="85"/>
  <c r="E16" i="135"/>
  <c r="E13" i="86"/>
  <c r="E23" i="88"/>
  <c r="E26" i="74"/>
  <c r="E19" i="140"/>
  <c r="F12" i="119"/>
  <c r="F14" i="105" s="1"/>
  <c r="I14" l="1"/>
  <c r="H14"/>
  <c r="H11"/>
  <c r="I11"/>
  <c r="E45" i="117"/>
  <c r="G41" i="151"/>
  <c r="K41" s="1"/>
  <c r="E46" l="1"/>
  <c r="G46" s="1"/>
  <c r="K46" s="1"/>
  <c r="G45"/>
  <c r="K45" s="1"/>
  <c r="E42"/>
  <c r="G42" s="1"/>
  <c r="K42" s="1"/>
  <c r="G39"/>
  <c r="E38"/>
  <c r="G38" s="1"/>
  <c r="K38" s="1"/>
  <c r="J31"/>
  <c r="F16"/>
  <c r="F15"/>
  <c r="F13"/>
  <c r="F14"/>
  <c r="F12"/>
  <c r="F11"/>
  <c r="F10"/>
  <c r="F9"/>
  <c r="F8"/>
  <c r="F7"/>
  <c r="F6"/>
  <c r="F5"/>
  <c r="F4"/>
  <c r="F3"/>
  <c r="F2"/>
  <c r="K49" l="1"/>
  <c r="E14" i="153" s="1"/>
  <c r="F31" i="151"/>
  <c r="E2"/>
  <c r="E3"/>
  <c r="G3" s="1"/>
  <c r="K3" s="1"/>
  <c r="E4"/>
  <c r="G4" s="1"/>
  <c r="K4" s="1"/>
  <c r="E5"/>
  <c r="G5" s="1"/>
  <c r="K5" s="1"/>
  <c r="E6"/>
  <c r="G6" s="1"/>
  <c r="K6" s="1"/>
  <c r="E7"/>
  <c r="G7" s="1"/>
  <c r="K7" s="1"/>
  <c r="E8"/>
  <c r="G8" s="1"/>
  <c r="K8" s="1"/>
  <c r="E9"/>
  <c r="G9" s="1"/>
  <c r="K9" s="1"/>
  <c r="E10"/>
  <c r="G10" s="1"/>
  <c r="K10" s="1"/>
  <c r="E11"/>
  <c r="G11" s="1"/>
  <c r="K11" s="1"/>
  <c r="E12"/>
  <c r="G12" s="1"/>
  <c r="K12" s="1"/>
  <c r="E14"/>
  <c r="G14" s="1"/>
  <c r="K14" s="1"/>
  <c r="E13"/>
  <c r="G13" s="1"/>
  <c r="K13" s="1"/>
  <c r="E15"/>
  <c r="G15" s="1"/>
  <c r="K15" s="1"/>
  <c r="E16"/>
  <c r="G16" s="1"/>
  <c r="K16" s="1"/>
  <c r="G60" l="1"/>
  <c r="E31"/>
  <c r="G2"/>
  <c r="K2" s="1"/>
  <c r="G31" l="1"/>
  <c r="K31"/>
  <c r="K35" s="1"/>
  <c r="E13" i="153" l="1"/>
  <c r="F13" s="1"/>
  <c r="K51" i="151"/>
  <c r="G59"/>
  <c r="D25" i="141"/>
  <c r="E4" i="153" l="1"/>
  <c r="G54" i="151" s="1"/>
  <c r="G68"/>
  <c r="F31" i="105"/>
  <c r="H31" l="1"/>
  <c r="I31"/>
  <c r="E24" i="153"/>
  <c r="E27" s="1"/>
  <c r="F30" i="105" s="1"/>
  <c r="I30" s="1"/>
  <c r="G69" i="151"/>
  <c r="G70" s="1"/>
  <c r="D27" i="153"/>
  <c r="E14" i="102"/>
  <c r="E11" i="101"/>
  <c r="H30" i="105" l="1"/>
  <c r="E16" i="75"/>
  <c r="E14" i="133"/>
  <c r="E33" i="125" l="1"/>
  <c r="E22" i="126"/>
  <c r="E28" i="100"/>
  <c r="F14" i="131"/>
  <c r="F11"/>
  <c r="F8"/>
  <c r="F5"/>
  <c r="I36" i="128" l="1"/>
  <c r="G37"/>
  <c r="F37"/>
  <c r="D37"/>
  <c r="B37"/>
  <c r="C35"/>
  <c r="I35" s="1"/>
  <c r="I27"/>
  <c r="H31" l="1"/>
  <c r="H30"/>
  <c r="H29"/>
  <c r="H28"/>
  <c r="H25"/>
  <c r="H24"/>
  <c r="H23"/>
  <c r="H22"/>
  <c r="H21"/>
  <c r="H20"/>
  <c r="H19"/>
  <c r="H18"/>
  <c r="H17"/>
  <c r="H16"/>
  <c r="H15"/>
  <c r="H14"/>
  <c r="H7"/>
  <c r="H12"/>
  <c r="H5"/>
  <c r="H10"/>
  <c r="H13"/>
  <c r="H8"/>
  <c r="H6"/>
  <c r="H11"/>
  <c r="H9"/>
  <c r="H4"/>
  <c r="H3"/>
  <c r="H2"/>
  <c r="H37" s="1"/>
  <c r="E34"/>
  <c r="E33"/>
  <c r="E32"/>
  <c r="E31"/>
  <c r="E30"/>
  <c r="E29"/>
  <c r="E28"/>
  <c r="C32"/>
  <c r="I32" s="1"/>
  <c r="E26"/>
  <c r="E25"/>
  <c r="E24"/>
  <c r="E22"/>
  <c r="E21"/>
  <c r="E23"/>
  <c r="E20"/>
  <c r="E19"/>
  <c r="E18"/>
  <c r="E17"/>
  <c r="E16"/>
  <c r="E15"/>
  <c r="E14"/>
  <c r="E7"/>
  <c r="E12"/>
  <c r="E5"/>
  <c r="E10"/>
  <c r="E13"/>
  <c r="E8"/>
  <c r="E6"/>
  <c r="E11"/>
  <c r="E9"/>
  <c r="E4"/>
  <c r="E3"/>
  <c r="E2"/>
  <c r="E37" s="1"/>
  <c r="C22"/>
  <c r="G14" i="131"/>
  <c r="G11"/>
  <c r="G8"/>
  <c r="G5"/>
  <c r="I22" i="128" l="1"/>
  <c r="E8" i="112" l="1"/>
  <c r="G14" i="8"/>
  <c r="F14"/>
  <c r="D14"/>
  <c r="F16" i="105" l="1"/>
  <c r="I16" s="1"/>
  <c r="D12" i="147"/>
  <c r="E10" i="122"/>
  <c r="E22" i="116"/>
  <c r="E23" i="95"/>
  <c r="E9" i="113"/>
  <c r="E17" i="65"/>
  <c r="F11" i="118"/>
  <c r="F15" i="105" s="1"/>
  <c r="C25" i="141"/>
  <c r="I15" i="105" l="1"/>
  <c r="H15"/>
  <c r="H16"/>
  <c r="C33" i="128"/>
  <c r="I33" s="1"/>
  <c r="C21"/>
  <c r="I21" s="1"/>
  <c r="E15" i="134" l="1"/>
  <c r="E14" i="90" l="1"/>
  <c r="E17" i="16"/>
  <c r="E12" i="15"/>
  <c r="E13" i="83"/>
  <c r="E13" i="80"/>
  <c r="E20" i="77"/>
  <c r="D12" i="115" l="1"/>
  <c r="C29" i="128" l="1"/>
  <c r="I29" s="1"/>
  <c r="C20"/>
  <c r="I20" s="1"/>
  <c r="C19"/>
  <c r="I19" s="1"/>
  <c r="C18"/>
  <c r="I18" s="1"/>
  <c r="E33" i="117"/>
  <c r="E27"/>
  <c r="E23"/>
  <c r="E16"/>
  <c r="E9"/>
  <c r="E47" l="1"/>
  <c r="E12" i="115" l="1"/>
  <c r="F5"/>
  <c r="F12" s="1"/>
  <c r="F23" i="105" s="1"/>
  <c r="F11" i="143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D20"/>
  <c r="E20"/>
  <c r="F20"/>
  <c r="G20"/>
  <c r="H20"/>
  <c r="I20"/>
  <c r="J20"/>
  <c r="K20"/>
  <c r="L20"/>
  <c r="M20"/>
  <c r="D21"/>
  <c r="E21"/>
  <c r="F21"/>
  <c r="G21"/>
  <c r="H21"/>
  <c r="I21"/>
  <c r="J21"/>
  <c r="K21"/>
  <c r="L21"/>
  <c r="M21"/>
  <c r="D22"/>
  <c r="E22"/>
  <c r="F22"/>
  <c r="G22"/>
  <c r="H22"/>
  <c r="I22"/>
  <c r="J22"/>
  <c r="K22"/>
  <c r="L22"/>
  <c r="M22"/>
  <c r="D29"/>
  <c r="E29"/>
  <c r="F29"/>
  <c r="G29"/>
  <c r="H29"/>
  <c r="I29"/>
  <c r="J29"/>
  <c r="K29"/>
  <c r="L29"/>
  <c r="M29"/>
  <c r="D30"/>
  <c r="E30"/>
  <c r="F30"/>
  <c r="G30"/>
  <c r="H30"/>
  <c r="I30"/>
  <c r="J30"/>
  <c r="K30"/>
  <c r="L30"/>
  <c r="M30"/>
  <c r="D31"/>
  <c r="E31"/>
  <c r="F31"/>
  <c r="G31"/>
  <c r="H31"/>
  <c r="I31"/>
  <c r="J31"/>
  <c r="K31"/>
  <c r="L31"/>
  <c r="M31"/>
  <c r="C8" i="128"/>
  <c r="I8"/>
  <c r="E25" i="141"/>
  <c r="C24" i="128"/>
  <c r="I24"/>
  <c r="C15"/>
  <c r="I15"/>
  <c r="C26"/>
  <c r="I26"/>
  <c r="C25"/>
  <c r="I25"/>
  <c r="C7"/>
  <c r="I7"/>
  <c r="C28"/>
  <c r="I28"/>
  <c r="C30"/>
  <c r="I30"/>
  <c r="C31"/>
  <c r="I31"/>
  <c r="C3"/>
  <c r="I3"/>
  <c r="C4"/>
  <c r="I4"/>
  <c r="C2"/>
  <c r="I2"/>
  <c r="C9"/>
  <c r="I9"/>
  <c r="C6"/>
  <c r="I6"/>
  <c r="C11"/>
  <c r="I11"/>
  <c r="C13"/>
  <c r="I13"/>
  <c r="C12"/>
  <c r="I12"/>
  <c r="C10"/>
  <c r="I10"/>
  <c r="C5"/>
  <c r="I5"/>
  <c r="C14"/>
  <c r="I14"/>
  <c r="C16"/>
  <c r="I16"/>
  <c r="C17"/>
  <c r="I17"/>
  <c r="C23"/>
  <c r="I23"/>
  <c r="C34"/>
  <c r="I34"/>
  <c r="I23" i="105" l="1"/>
  <c r="H23"/>
  <c r="F52"/>
  <c r="F59" s="1"/>
  <c r="C37" i="128"/>
  <c r="I37"/>
  <c r="C38"/>
  <c r="I52" i="105" l="1"/>
  <c r="H52"/>
  <c r="D55"/>
  <c r="F55" l="1"/>
</calcChain>
</file>

<file path=xl/sharedStrings.xml><?xml version="1.0" encoding="utf-8"?>
<sst xmlns="http://schemas.openxmlformats.org/spreadsheetml/2006/main" count="1027" uniqueCount="792">
  <si>
    <t>Anti-virus annual renewal - Trend Micro</t>
  </si>
  <si>
    <t>Monitors</t>
  </si>
  <si>
    <t>Class B Foam (32, 5 gall @ 70)</t>
  </si>
  <si>
    <t>Class A Foam (20, 5 gall @ 65)</t>
  </si>
  <si>
    <t>HazMat equipment and supplies</t>
  </si>
  <si>
    <t>AED Equipment- Batteries, Pads, Razors, Cards, Etc.</t>
  </si>
  <si>
    <t>Air Filters (both stations)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</si>
  <si>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</si>
  <si>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</si>
  <si>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</si>
  <si>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</si>
  <si>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</si>
  <si>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</si>
  <si>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</si>
  <si>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</si>
  <si>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</si>
  <si>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</si>
  <si>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ILS Kits to include medical bag &amp; supplies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</si>
  <si>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</si>
  <si>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</si>
  <si>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</si>
  <si>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</si>
  <si>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</si>
  <si>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</si>
  <si>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</si>
  <si>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Fire Extinguisher Re-Charging for each apparatus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</si>
  <si>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</si>
  <si>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</si>
  <si>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</si>
  <si>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</si>
  <si>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</si>
  <si>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</si>
  <si>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Surplus (Deficit)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</si>
  <si>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</si>
  <si>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</si>
  <si>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</si>
  <si>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</si>
  <si>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</si>
  <si>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</si>
  <si>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</si>
  <si>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</si>
  <si>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</si>
  <si>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</si>
  <si>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Intermediate FF</t>
  </si>
  <si>
    <t>Advanced FF</t>
  </si>
  <si>
    <t>Master FF</t>
  </si>
  <si>
    <t>New Monthly Cap:</t>
  </si>
  <si>
    <t>Lawn Care Supplies (Weed Killer, Trash bags,  Lawn Tools)</t>
  </si>
  <si>
    <t>Causes &amp; suits etc. - estimate</t>
  </si>
  <si>
    <t>Loan repayment</t>
  </si>
  <si>
    <t>Employee &amp; Member Recognition</t>
  </si>
  <si>
    <t>STAFF- (Chiefs, Lieutenant)</t>
  </si>
  <si>
    <t>Interest on general fund</t>
  </si>
  <si>
    <t>F</t>
  </si>
  <si>
    <t>TAFC/TAFE</t>
  </si>
  <si>
    <t>Copy Machine - 2 copiers/both stations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</si>
  <si>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</si>
  <si>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</si>
  <si>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</si>
  <si>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</si>
  <si>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</si>
  <si>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</si>
  <si>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</si>
  <si>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</si>
  <si>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</si>
  <si>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</si>
  <si>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</si>
  <si>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</si>
  <si>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</si>
  <si>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</si>
  <si>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</si>
  <si>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</si>
  <si>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</si>
  <si>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</si>
  <si>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</si>
  <si>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</si>
  <si>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</si>
  <si>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</si>
  <si>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</si>
  <si>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</si>
  <si>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</si>
  <si>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</si>
  <si>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</si>
  <si>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</si>
  <si>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</si>
  <si>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</si>
  <si>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</si>
  <si>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</si>
  <si>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</si>
  <si>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</si>
  <si>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** lease to be paid annually through July 2027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</si>
  <si>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</si>
  <si>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</si>
  <si>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</si>
  <si>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</si>
  <si>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</si>
  <si>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</si>
  <si>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</si>
  <si>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</si>
  <si>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</si>
  <si>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</si>
  <si>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</si>
  <si>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</si>
  <si>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</si>
  <si>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</si>
  <si>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</si>
  <si>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</si>
  <si>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</si>
  <si>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</si>
  <si>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</si>
  <si>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</si>
  <si>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</si>
  <si>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</si>
  <si>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</si>
  <si>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</si>
  <si>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</si>
  <si>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</si>
  <si>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</si>
  <si>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Fire Department Instructors Conference (FDIC)</t>
  </si>
  <si>
    <t>OFFICERS</t>
  </si>
  <si>
    <t>COMMISH</t>
  </si>
  <si>
    <t>PPE - boots @ $100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</si>
  <si>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</si>
  <si>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</si>
  <si>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</si>
  <si>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</si>
  <si>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</si>
  <si>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AT&amp;T </t>
  </si>
  <si>
    <t xml:space="preserve">Stickers with Fire Department Logo </t>
  </si>
  <si>
    <t>Wireless Access for MDC's ($50 each month)</t>
  </si>
  <si>
    <t>611,2</t>
  </si>
  <si>
    <t>EMS &amp; Rehab supplies</t>
  </si>
  <si>
    <t>634, 5</t>
  </si>
  <si>
    <t>Fire academy &amp; EMS Certification Course</t>
  </si>
  <si>
    <t>Vehicle Maintenance &amp; Repairs</t>
  </si>
  <si>
    <t>Annual SCBA Flow Test 27 @ $35</t>
  </si>
  <si>
    <t>SCBA mask disinfectant</t>
  </si>
  <si>
    <t>Scott SCBA masks - 9 @ $250</t>
  </si>
  <si>
    <t>MAINTENANCE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</si>
  <si>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</si>
  <si>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</si>
  <si>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</si>
  <si>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</si>
  <si>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</si>
  <si>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</si>
  <si>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</si>
  <si>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</si>
  <si>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</si>
  <si>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</si>
  <si>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</si>
  <si>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</si>
  <si>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</si>
  <si>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</si>
  <si>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</si>
  <si>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</si>
  <si>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</si>
  <si>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</si>
  <si>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</si>
  <si>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</si>
  <si>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</si>
  <si>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</si>
  <si>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</si>
  <si>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</si>
  <si>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</si>
  <si>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</si>
  <si>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</si>
  <si>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</si>
  <si>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</si>
  <si>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</si>
  <si>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</si>
  <si>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</si>
  <si>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</si>
  <si>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</si>
  <si>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</si>
  <si>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</si>
  <si>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</si>
  <si>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</si>
  <si>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</si>
  <si>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</si>
  <si>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</si>
  <si>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>BP Cuffs, Splints &amp; Stethoscopes, Etc.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</si>
  <si>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</si>
  <si>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</si>
  <si>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</si>
  <si>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</si>
  <si>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</si>
  <si>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</si>
  <si>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</si>
  <si>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</si>
  <si>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</si>
  <si>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</si>
  <si>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</si>
  <si>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</si>
  <si>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</si>
  <si>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</si>
  <si>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</si>
  <si>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</si>
  <si>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</si>
  <si>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</si>
  <si>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</si>
  <si>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</si>
  <si>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</si>
  <si>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</si>
  <si>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</si>
  <si>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</si>
  <si>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</si>
  <si>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</si>
  <si>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Wire charges - possibly - with transfers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</si>
  <si>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</si>
  <si>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</si>
  <si>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</si>
  <si>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</si>
  <si>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</si>
  <si>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</si>
  <si>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</si>
  <si>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</si>
  <si>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Glucometer batteries</t>
  </si>
  <si>
    <t>Training- Fire &amp; Rescue</t>
  </si>
  <si>
    <t>Fire Prevention Supplies</t>
  </si>
  <si>
    <t>Transmission Service</t>
  </si>
  <si>
    <t>Tires</t>
  </si>
  <si>
    <t>Vehicle Inspections</t>
  </si>
  <si>
    <t>Emergency lighting</t>
  </si>
  <si>
    <t>From Uniform WS</t>
  </si>
  <si>
    <t>From Protective Gear WS</t>
  </si>
  <si>
    <t>Meals &amp; Refreshment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</si>
  <si>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</si>
  <si>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</si>
  <si>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</si>
  <si>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</si>
  <si>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</si>
  <si>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</si>
  <si>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</si>
  <si>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</si>
  <si>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</si>
  <si>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</si>
  <si>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</si>
  <si>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</si>
  <si>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</si>
  <si>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</si>
  <si>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</si>
  <si>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</si>
  <si>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</si>
  <si>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</si>
  <si>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</si>
  <si>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</si>
  <si>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</si>
  <si>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Annual Rates</t>
  </si>
  <si>
    <t>Debt Service 2003 bonds</t>
  </si>
  <si>
    <t>Debt service 2005 bonds</t>
  </si>
  <si>
    <t>Estimated annual charges</t>
  </si>
  <si>
    <t>Sam's - general supplies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</si>
  <si>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</si>
  <si>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</si>
  <si>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</si>
  <si>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</si>
  <si>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</si>
  <si>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</si>
  <si>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</si>
  <si>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</si>
  <si>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</si>
  <si>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</si>
  <si>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</si>
  <si>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</si>
  <si>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</si>
  <si>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</si>
  <si>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</si>
  <si>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</si>
  <si>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</si>
  <si>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</si>
  <si>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</si>
  <si>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</si>
  <si>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</si>
  <si>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</si>
  <si>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</si>
  <si>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</si>
  <si>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</si>
  <si>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</si>
  <si>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</si>
  <si>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</si>
  <si>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</si>
  <si>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</si>
  <si>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</si>
  <si>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</si>
  <si>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</si>
  <si>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* lease to be paid annually through March 2nd 2016</t>
  </si>
  <si>
    <t>Administration fees - each bond debt - Wells Fargo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</si>
  <si>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</si>
  <si>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</si>
  <si>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</si>
  <si>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</si>
  <si>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</si>
  <si>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</si>
  <si>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</si>
  <si>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</si>
  <si>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These amounts are what will actually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</si>
  <si>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</si>
  <si>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</si>
  <si>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</si>
  <si>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Tax Office fees</t>
  </si>
  <si>
    <t>2003 bonds last payment is September 1, 2023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</si>
  <si>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</si>
  <si>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</si>
  <si>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</si>
  <si>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</si>
  <si>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</si>
  <si>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</si>
  <si>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</si>
  <si>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</si>
  <si>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</si>
  <si>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</si>
  <si>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</si>
  <si>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</si>
  <si>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</si>
  <si>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</si>
  <si>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</si>
  <si>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</si>
  <si>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</si>
  <si>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</si>
  <si>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</si>
  <si>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</si>
  <si>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</si>
  <si>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</si>
  <si>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</si>
  <si>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</si>
  <si>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</si>
  <si>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</si>
  <si>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</si>
  <si>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</si>
  <si>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</si>
  <si>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</si>
  <si>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</si>
  <si>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</si>
  <si>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</si>
  <si>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</si>
  <si>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</si>
  <si>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</si>
  <si>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</si>
  <si>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</si>
  <si>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</si>
  <si>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</si>
  <si>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</si>
  <si>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</si>
  <si>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</si>
  <si>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</si>
  <si>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</si>
  <si>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</si>
  <si>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</si>
  <si>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</si>
  <si>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</si>
  <si>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</si>
  <si>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</si>
  <si>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JW, RH</t>
  </si>
  <si>
    <t>TCFP Facility certifications</t>
  </si>
  <si>
    <t>DSHS First Responder Organization</t>
  </si>
  <si>
    <t>DSHS CE issuing organization</t>
  </si>
  <si>
    <t>DPS license renewals</t>
  </si>
  <si>
    <t>COA Barton Springs Zone Permit (CD station)</t>
  </si>
  <si>
    <t>Replacement flags</t>
  </si>
  <si>
    <t>Safe-D Association</t>
  </si>
  <si>
    <t>Repairs; troubleshoot</t>
  </si>
  <si>
    <t>Time Warner digital phones</t>
  </si>
  <si>
    <t>Annual Report</t>
  </si>
  <si>
    <t>Cap S. Barfield</t>
  </si>
  <si>
    <t>DO J. Ramsdell</t>
  </si>
  <si>
    <t>R. Clark</t>
  </si>
  <si>
    <t>D. Russell</t>
  </si>
  <si>
    <t>off prob</t>
  </si>
  <si>
    <t>new hire</t>
  </si>
  <si>
    <t>District Chief</t>
  </si>
  <si>
    <t>at 53 hrs wk</t>
  </si>
  <si>
    <t>Mileage Reimbursement per Federal standard</t>
  </si>
  <si>
    <t>Misc. Seminars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</si>
  <si>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</si>
  <si>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</si>
  <si>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</si>
  <si>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</si>
  <si>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</si>
  <si>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 xml:space="preserve">Professional Development (officers) </t>
  </si>
  <si>
    <t>Miscellaneous (Notary etc.)</t>
  </si>
  <si>
    <t>Inspection / Investigation equipment</t>
  </si>
  <si>
    <t xml:space="preserve"> FT hire date</t>
  </si>
  <si>
    <t>DC Training</t>
  </si>
  <si>
    <r>
      <t xml:space="preserve">Accident &amp; Sickness Insurance: CAFCA </t>
    </r>
    <r>
      <rPr>
        <u/>
        <sz val="10"/>
        <rFont val="Arial Narrow"/>
        <family val="2"/>
      </rPr>
      <t xml:space="preserve">Paid </t>
    </r>
    <r>
      <rPr>
        <sz val="10"/>
        <rFont val="Arial Narrow"/>
        <family val="2"/>
      </rPr>
      <t>(VFIS)**</t>
    </r>
  </si>
  <si>
    <r>
      <t xml:space="preserve">Accident &amp; Sickness Insurance: CAFCA </t>
    </r>
    <r>
      <rPr>
        <u/>
        <sz val="10"/>
        <rFont val="Arial Narrow"/>
        <family val="2"/>
      </rPr>
      <t>Vols</t>
    </r>
    <r>
      <rPr>
        <sz val="10"/>
        <rFont val="Arial Narrow"/>
        <family val="2"/>
      </rPr>
      <t xml:space="preserve"> (VFIS)</t>
    </r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</si>
  <si>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</si>
  <si>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</si>
  <si>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</si>
  <si>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</si>
  <si>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</si>
  <si>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</si>
  <si>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</si>
  <si>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</si>
  <si>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Fire Service Instructor</t>
  </si>
  <si>
    <t>Sam's Club memberships @ $35 each</t>
  </si>
  <si>
    <t>Sales Tax Revenue Consultant</t>
  </si>
  <si>
    <t>PREVENTION</t>
  </si>
  <si>
    <t>Principal &amp; Interest</t>
  </si>
  <si>
    <t xml:space="preserve">Full time employees 457 contribution </t>
  </si>
  <si>
    <r>
      <t xml:space="preserve">be paid out of the </t>
    </r>
    <r>
      <rPr>
        <u/>
        <sz val="10"/>
        <rFont val="Arial Narrow"/>
        <family val="2"/>
      </rPr>
      <t>Bond Debt Service Funds</t>
    </r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</si>
  <si>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</si>
  <si>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</si>
  <si>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</si>
  <si>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</si>
  <si>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</si>
  <si>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</si>
  <si>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[Actually receive 1.96% of sales.]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</si>
  <si>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</si>
  <si>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</si>
  <si>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</si>
  <si>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Res-Q-Pod (7 @ $90)</t>
  </si>
  <si>
    <t>CPAP (15 @ $45 each)</t>
  </si>
  <si>
    <t>King airway tube (20 @ $60 each)</t>
  </si>
  <si>
    <t>Fire Officer 1</t>
  </si>
  <si>
    <t>J. Martinez</t>
  </si>
  <si>
    <t xml:space="preserve">** rate would be figured to fit w/admin </t>
  </si>
  <si>
    <t>Miscellaneous tools</t>
  </si>
  <si>
    <t>Health Insurance - TAC credit (awarded monthly)</t>
  </si>
  <si>
    <t>Live Fire PPE rental</t>
  </si>
  <si>
    <t>Number</t>
  </si>
  <si>
    <t>A percentage of our property tax is paid into the Debt Service Funds each month</t>
  </si>
  <si>
    <t>Bills (principal &amp; interest: debt retirement) are paid out of the DSF accounts twice per year only.</t>
  </si>
  <si>
    <t>Vending machines - added 12-21-09</t>
  </si>
  <si>
    <t>485, 87, 90, 99</t>
  </si>
  <si>
    <t>Fire Academy fees-added 52315. 2/22/10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</si>
  <si>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</si>
  <si>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</si>
  <si>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</si>
  <si>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</si>
  <si>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</si>
  <si>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</si>
  <si>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RDO B. Storer</t>
  </si>
  <si>
    <t>D. Davis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</si>
  <si>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</si>
  <si>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</si>
  <si>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</si>
  <si>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</si>
  <si>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</si>
  <si>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</si>
  <si>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</si>
  <si>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</si>
  <si>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</si>
  <si>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Reduction May 24, 2010 (not pay 4th Qtr TCAD)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</si>
  <si>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</si>
  <si>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</si>
  <si>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</si>
  <si>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</si>
  <si>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</si>
  <si>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</si>
  <si>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</si>
  <si>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Legal consultants - KC, JC, DY</t>
  </si>
  <si>
    <t>FEMA Match (vehicle)</t>
  </si>
  <si>
    <t>Estimate 2011</t>
  </si>
  <si>
    <t>Boots</t>
  </si>
  <si>
    <t>DO K Grieser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</si>
  <si>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</si>
  <si>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</si>
  <si>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</si>
  <si>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</si>
  <si>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</si>
  <si>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t>A. Lee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</si>
  <si>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</si>
  <si>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</si>
  <si>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</si>
  <si>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</si>
  <si>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</si>
  <si>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</si>
  <si>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</si>
  <si>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</si>
  <si>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</si>
  <si>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</si>
  <si>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</si>
  <si>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</si>
  <si>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</si>
  <si>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</si>
  <si>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</si>
  <si>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LT T. Koiro</t>
  </si>
  <si>
    <t>FF 2012</t>
  </si>
  <si>
    <t>DO 2012</t>
  </si>
  <si>
    <t>LT 2012</t>
  </si>
  <si>
    <t>CAP 2012</t>
  </si>
  <si>
    <t>LT2012</t>
  </si>
  <si>
    <t>RDO S. Caudle</t>
  </si>
  <si>
    <t>DO P. Elkins</t>
  </si>
  <si>
    <t xml:space="preserve">N. Dye </t>
  </si>
  <si>
    <t>Longevity</t>
  </si>
  <si>
    <t>RDO C. Montgomery</t>
  </si>
  <si>
    <t>Workers Com - instructors</t>
  </si>
  <si>
    <t xml:space="preserve">Based on recent usage </t>
  </si>
  <si>
    <t>Approx. Based on current year instructor use</t>
  </si>
  <si>
    <t xml:space="preserve">Instructor Pay </t>
  </si>
  <si>
    <t>Workers Comp - admin</t>
  </si>
  <si>
    <t>Workers Comp - instructors</t>
  </si>
  <si>
    <t>632: 15,000, 634: 57,000, 635  16,500</t>
  </si>
  <si>
    <t>Red font:  do not participate in 457</t>
  </si>
  <si>
    <t>instructor pay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</si>
  <si>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</si>
  <si>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</si>
  <si>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</si>
  <si>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</si>
  <si>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</si>
  <si>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</si>
  <si>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457 (b) Plan - full time employees only 10%</t>
  </si>
  <si>
    <t>Locution Station Alerting License &amp; Hardware maint.</t>
  </si>
  <si>
    <t>Sweatshirts</t>
  </si>
  <si>
    <t>TCFP Annual certifications  (40 @ $85)</t>
  </si>
  <si>
    <t>Department team-sponsorship</t>
  </si>
  <si>
    <t>Septic inspection and maintenance CD</t>
  </si>
  <si>
    <t>AC filter grates for CD</t>
  </si>
  <si>
    <t>painting drill tower exterior handrails</t>
  </si>
  <si>
    <t>National Assoc. of EMS Educators (NAEMS)</t>
  </si>
  <si>
    <t>CH</t>
  </si>
  <si>
    <r>
      <t xml:space="preserve">Health Ins. - full time only - </t>
    </r>
    <r>
      <rPr>
        <sz val="9"/>
        <rFont val="Arial Narrow"/>
        <family val="2"/>
      </rPr>
      <t>32 employees</t>
    </r>
    <r>
      <rPr>
        <sz val="8"/>
        <rFont val="Arial Narrow"/>
        <family val="2"/>
      </rPr>
      <t xml:space="preserve"> (includes reimbursement from employees)</t>
    </r>
  </si>
  <si>
    <t>LONGEVITY INCENTIVE - Effective 10/01/11</t>
  </si>
  <si>
    <t>Revenue Rescue (&amp; other billing)</t>
  </si>
  <si>
    <t>Actual Received</t>
  </si>
  <si>
    <t>hourly annual</t>
  </si>
  <si>
    <t>Repairs - miscellaneous PC/network</t>
  </si>
  <si>
    <t>Software - miscellaneous</t>
  </si>
  <si>
    <t>QuickBooks upgrade - Intuit</t>
  </si>
  <si>
    <t>Audit - John Lewis, CPA P.C.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</si>
  <si>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</si>
  <si>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</si>
  <si>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</si>
  <si>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</si>
  <si>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Internet &amp; cable - Time Warner - both stations</t>
  </si>
  <si>
    <t>Estimate</t>
  </si>
  <si>
    <t>Estimate 2012</t>
  </si>
  <si>
    <t>D. Nicholson</t>
  </si>
  <si>
    <t>B. Flood</t>
  </si>
  <si>
    <t xml:space="preserve">Chief </t>
  </si>
  <si>
    <t xml:space="preserve">Estimate of part time </t>
  </si>
  <si>
    <t>per hour pay</t>
  </si>
  <si>
    <t>years</t>
  </si>
  <si>
    <t>EMS training PT (SK)</t>
  </si>
  <si>
    <t>EMT Acad Coordinator (CH)</t>
  </si>
  <si>
    <t>Rate, experience modifier, discount</t>
  </si>
  <si>
    <t>do not change figures - they will change with payroll figures</t>
  </si>
  <si>
    <t>Texas SUI  @ $56.7 x 32+ allowance $2,186 for PT</t>
  </si>
  <si>
    <t>Accident &amp; Sickness &amp; life - VFIS/CAFCA</t>
  </si>
  <si>
    <t>figure will auto change with payroll</t>
  </si>
  <si>
    <t>Quick Book Checks  (1000)</t>
  </si>
  <si>
    <t>DSHS EMS Coordinator</t>
  </si>
  <si>
    <t>General training</t>
  </si>
  <si>
    <t>Fire &amp; EMT Academy</t>
  </si>
  <si>
    <t>JW</t>
  </si>
  <si>
    <t xml:space="preserve">JW, RH, KB </t>
  </si>
  <si>
    <t>Misc. grant matching (LCRA/PEC, Motorola, etc.)</t>
  </si>
  <si>
    <t>Trauma supplies</t>
  </si>
  <si>
    <t>EMS Training (advanced)</t>
  </si>
  <si>
    <r>
      <t>Fire Acad Coordinator</t>
    </r>
    <r>
      <rPr>
        <sz val="8"/>
        <rFont val="Arial Narrow"/>
        <family val="2"/>
      </rPr>
      <t xml:space="preserve"> (TW)</t>
    </r>
  </si>
  <si>
    <t>FY 2012</t>
  </si>
  <si>
    <t>Volunteers based on approximately 1000 hours at $11.00 per hour</t>
  </si>
  <si>
    <t>FF 2013</t>
  </si>
  <si>
    <t>C</t>
  </si>
  <si>
    <t>D</t>
  </si>
  <si>
    <t>E</t>
  </si>
  <si>
    <t>DO 2013</t>
  </si>
  <si>
    <t>LT2013</t>
  </si>
  <si>
    <t>CAP 2013</t>
  </si>
  <si>
    <t>LT 2013</t>
  </si>
  <si>
    <t>Waste disposal - Allied Waste - Barton Creek</t>
  </si>
  <si>
    <t>Waste -  Texas Disposal - Circle Drive</t>
  </si>
  <si>
    <t>Office Manager</t>
  </si>
  <si>
    <t>CAD to Records Management System interface</t>
  </si>
  <si>
    <t>SCBA replacement bottles (25/yr)</t>
  </si>
  <si>
    <t>Cylinder Hydro (68 x $30)</t>
  </si>
  <si>
    <t>Portable Cascade Hydro</t>
  </si>
  <si>
    <t>RIC Bags</t>
  </si>
  <si>
    <t>Budget Amendment</t>
  </si>
  <si>
    <t>Extrication Tool Replacement</t>
  </si>
  <si>
    <t>Cap J. Patton</t>
  </si>
  <si>
    <t>Cap R. Bergman</t>
  </si>
  <si>
    <t>LT S. Fiebig **</t>
  </si>
  <si>
    <t>LT A. Lyngaas</t>
  </si>
  <si>
    <t>DO C. Kubin</t>
  </si>
  <si>
    <t>DO A. Young</t>
  </si>
  <si>
    <t>LT J. Torres</t>
  </si>
  <si>
    <t>DO R. Lemke</t>
  </si>
  <si>
    <t>B. Shelton</t>
  </si>
  <si>
    <t>J. Beard</t>
  </si>
  <si>
    <t>Business Manager</t>
  </si>
  <si>
    <t>Accountability tags</t>
  </si>
  <si>
    <t>Structural Boots</t>
  </si>
  <si>
    <t>Structural helmets face shields</t>
  </si>
  <si>
    <t>Structural Helmets with leather fronts</t>
  </si>
  <si>
    <t>Structural Nomex hoods</t>
  </si>
  <si>
    <t>Structural Turnout Coats</t>
  </si>
  <si>
    <t>Structural turnout gloves</t>
  </si>
  <si>
    <t>Structural Turnout Pants</t>
  </si>
  <si>
    <t>Structural Turnout suspenders</t>
  </si>
  <si>
    <t>Wildland Goggles</t>
  </si>
  <si>
    <t>Wildland Helmets</t>
  </si>
  <si>
    <t>Wildland Shelters</t>
  </si>
  <si>
    <t>Wildland Turnout Coats</t>
  </si>
  <si>
    <t>Wildland turnout gloves</t>
  </si>
  <si>
    <t>Wildland Turnout Pants</t>
  </si>
  <si>
    <t>Traffic Vests</t>
  </si>
  <si>
    <t>Based on recent usage</t>
  </si>
  <si>
    <r>
      <t xml:space="preserve">SAFE-D </t>
    </r>
    <r>
      <rPr>
        <sz val="10"/>
        <rFont val="Arial Narrow"/>
        <family val="2"/>
      </rPr>
      <t>Conference</t>
    </r>
  </si>
  <si>
    <t>SF, SB, RB</t>
  </si>
  <si>
    <t>Member/Commissioner Meetings</t>
  </si>
  <si>
    <t>CATRAC</t>
  </si>
  <si>
    <t>Training Props (Miscellaneous)</t>
  </si>
  <si>
    <t>CH, JV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</si>
  <si>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</si>
  <si>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</si>
  <si>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</si>
  <si>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</si>
  <si>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</si>
  <si>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</si>
  <si>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Replacement Automated External Difibrulators (3)</t>
  </si>
  <si>
    <t>JW, RH, HH, KB</t>
  </si>
  <si>
    <t>JW + 2 Officers</t>
  </si>
  <si>
    <t>National Registry Recertification</t>
  </si>
  <si>
    <t>Cell phones</t>
  </si>
  <si>
    <t>JW, RH, SF</t>
  </si>
  <si>
    <t>Debt Service 2013 bonds</t>
  </si>
  <si>
    <t>Print Shop (forms, etc.)</t>
  </si>
  <si>
    <t>Community Awareness Mailer</t>
  </si>
  <si>
    <t>Fire Sprinkler Annual Inspection</t>
  </si>
  <si>
    <t>incl</t>
  </si>
  <si>
    <t>Fire Alarm monitoring</t>
  </si>
  <si>
    <t>Short term disability for 32 FT Paid (Colonial)</t>
  </si>
  <si>
    <t>Epi Pens Child &amp; Adult $60 x 20 (state mandated)</t>
  </si>
  <si>
    <t>VEHICLES  (includes apparatus)</t>
  </si>
  <si>
    <t>Records Management System expansion</t>
  </si>
  <si>
    <t>SOURCE OF REVENUE</t>
  </si>
  <si>
    <t>REVENUE</t>
  </si>
  <si>
    <t>RDO C. Ford</t>
  </si>
  <si>
    <t>[$375 per month = $161.54 per pay period]</t>
  </si>
  <si>
    <t>Gas Monitor maintenance contract</t>
  </si>
  <si>
    <t>5 commissioners, 14 meetings</t>
  </si>
  <si>
    <t>Approved FY2014 Budget</t>
  </si>
  <si>
    <t>FF 2014</t>
  </si>
  <si>
    <t>DO 2014</t>
  </si>
  <si>
    <t>LT 2014</t>
  </si>
  <si>
    <t>LT2014</t>
  </si>
  <si>
    <t>CAP 2014</t>
  </si>
  <si>
    <t>FY2015 Budget</t>
  </si>
  <si>
    <t>Approved        8-26-13</t>
  </si>
  <si>
    <t xml:space="preserve">FY2014 TCAD 4th quarter is </t>
  </si>
  <si>
    <t>TCAD - Leana Mann - Tax office says ?? for FY 2015</t>
  </si>
  <si>
    <t>2014 proposed TCAD budget is   per quarter</t>
  </si>
  <si>
    <t xml:space="preserve">Therefore:  FY2015 =  plus </t>
  </si>
  <si>
    <t>Operational Rates of Pay 2012, 2013, &amp; 2014</t>
  </si>
  <si>
    <t>Firefighter: $14.08</t>
  </si>
  <si>
    <t>Lieutenant: $18.06</t>
  </si>
  <si>
    <t>Captain: $19.31</t>
  </si>
  <si>
    <t>Engineer: $16.14</t>
  </si>
  <si>
    <t>C. Scacco</t>
  </si>
  <si>
    <t>Cert</t>
  </si>
  <si>
    <t>Long</t>
  </si>
  <si>
    <t>Prevention PT (OT)</t>
  </si>
  <si>
    <t>Wellness Program (Physicals &amp; Workout Equipment)</t>
  </si>
  <si>
    <t>Trunked Radio User Fee @ $25.32 per radio/month</t>
  </si>
  <si>
    <t>moved to Office Supplies</t>
  </si>
  <si>
    <t>TCFP Initial Certifications (25@85)</t>
  </si>
  <si>
    <t>Allowance for small equipment (staplers etc.)</t>
  </si>
  <si>
    <t>Miscellaneous (pens, staples, clips etc.)</t>
  </si>
  <si>
    <t>Assorted general supplies (Home Depot, Lowes)</t>
  </si>
  <si>
    <t>Fire Extinguisher re-charging for each station</t>
  </si>
  <si>
    <t>TriState Cleaning Supplies</t>
  </si>
  <si>
    <t>Vacuum cleaners</t>
  </si>
  <si>
    <t>JW, SB</t>
  </si>
  <si>
    <t>KB</t>
  </si>
  <si>
    <t>JW, SF</t>
  </si>
  <si>
    <t>Website design, maintenance, and hosting</t>
  </si>
  <si>
    <t xml:space="preserve">Online Back-up </t>
  </si>
  <si>
    <t>Desktop Computer Replacements</t>
  </si>
  <si>
    <t>Mobile Computing (EMS and Inspections)</t>
  </si>
  <si>
    <t>Travis County Clerk for ESD postings</t>
  </si>
  <si>
    <t>Drill Tower Annual Inspection</t>
  </si>
  <si>
    <t>Overhead Door PM Contract</t>
  </si>
  <si>
    <t>% Change</t>
  </si>
  <si>
    <t>$ Change</t>
  </si>
  <si>
    <t>Proposed</t>
  </si>
  <si>
    <t>Payroll</t>
  </si>
  <si>
    <t>Add MDC (Support Truck)</t>
  </si>
  <si>
    <t>Fire Code Reference Books</t>
  </si>
  <si>
    <r>
      <t>IAFC</t>
    </r>
    <r>
      <rPr>
        <sz val="10"/>
        <rFont val="Arial Narrow"/>
        <family val="2"/>
      </rPr>
      <t xml:space="preserve"> FRI.  Atlanta 2015</t>
    </r>
  </si>
  <si>
    <t>Oak Hill Business &amp; Professional Assoc (OHBPA)</t>
  </si>
  <si>
    <t>International Association Fire Chiefs</t>
  </si>
  <si>
    <t>Texas Fire Marshal's Association</t>
  </si>
  <si>
    <t>Meeting Support - officers, admin, commissioners, etc.</t>
  </si>
  <si>
    <t>Comments</t>
  </si>
  <si>
    <t>Brush Trucks purchased in FY14</t>
  </si>
  <si>
    <t>Investigator Vehicle Slide Out Trays</t>
  </si>
  <si>
    <t>SCBA Replacement Packs</t>
  </si>
  <si>
    <t>Imperium Accoutability System</t>
  </si>
  <si>
    <t>SCBA Pack Replacement, Phase 1 (of 3)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</si>
  <si>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</si>
  <si>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</si>
  <si>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</si>
  <si>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</si>
  <si>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</si>
  <si>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Upgrade gas monitors for Eng301 and Qnt302</t>
  </si>
  <si>
    <t>Replace manifolds (Phase 1 of 2)</t>
  </si>
  <si>
    <t>SUNSET VALLEY REIMBURSEMENT</t>
  </si>
  <si>
    <t>Motorola APX Tri-Band Portable Radio</t>
  </si>
  <si>
    <t xml:space="preserve">VEHICLE MAINTENANCE &amp; REPAIR      </t>
  </si>
  <si>
    <t>EMS SUPPLIES</t>
  </si>
  <si>
    <t>UNIFORMS &amp; PROTECTIVE GEAR</t>
  </si>
  <si>
    <t>Misc. Supplies- Penlights, Scissors, Etc.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</si>
  <si>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</si>
  <si>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</si>
  <si>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</si>
  <si>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</si>
  <si>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</si>
  <si>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</si>
  <si>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TCFP Certification Classes (Inst, Ofcr, DO, etc)</t>
  </si>
  <si>
    <t>Swift water tech refresher</t>
  </si>
  <si>
    <t>NFA courses</t>
  </si>
  <si>
    <t>See TCFP</t>
  </si>
  <si>
    <t>Technical Rescue</t>
  </si>
  <si>
    <t>See Tech Res</t>
  </si>
  <si>
    <t>EMS Continuing Education</t>
  </si>
  <si>
    <t>See EMS CE</t>
  </si>
  <si>
    <t>Training Field Materials &amp; Supplies</t>
  </si>
  <si>
    <t>See Trng Fld</t>
  </si>
  <si>
    <t>FIRE &amp; RESCUE TRAINING</t>
  </si>
  <si>
    <t>RH + 3 OPS</t>
  </si>
  <si>
    <t>CH + 1 OPS</t>
  </si>
  <si>
    <t>NFPA Conference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</si>
  <si>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</si>
  <si>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</si>
  <si>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</si>
  <si>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</si>
  <si>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</si>
  <si>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</si>
  <si>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</si>
  <si>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</si>
  <si>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</si>
  <si>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</si>
  <si>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</si>
  <si>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RMS software annual maintenance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</si>
  <si>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</si>
  <si>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</si>
  <si>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</si>
  <si>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</si>
  <si>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</si>
  <si>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</si>
  <si>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</si>
  <si>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</si>
  <si>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</si>
  <si>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</si>
  <si>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AEDs purchased in FY14</t>
  </si>
  <si>
    <t>+$20K for Drill Field Props</t>
  </si>
  <si>
    <t>New Fire Code reference books</t>
  </si>
  <si>
    <t>Fire Hydrant Inspection</t>
  </si>
  <si>
    <t>NFPA Online Code (subscription)</t>
  </si>
  <si>
    <t>E-mail hosting</t>
  </si>
  <si>
    <t>Heat - Barton Creek - Natural Gas</t>
  </si>
  <si>
    <t>Heat &amp; Drill Field (Training) - Circle Drive - Propane</t>
  </si>
  <si>
    <t>Open House supplies</t>
  </si>
  <si>
    <t>*** 2 Brush Truck Replacements @ 110K each, 1 Training Replacement @ 70K</t>
  </si>
  <si>
    <t>US Bank - copiers</t>
  </si>
  <si>
    <t>Capital apparatus/equipment purchases ***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</si>
  <si>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</si>
  <si>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</si>
  <si>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</si>
  <si>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</si>
  <si>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</si>
  <si>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to Veh Maint</t>
  </si>
  <si>
    <t>Gas Monitor Maintenance Agreement</t>
  </si>
  <si>
    <t>Occupational Health Testing</t>
  </si>
  <si>
    <t>Using new phone-based system</t>
  </si>
  <si>
    <t>Lower fuel costs</t>
  </si>
  <si>
    <t>Hose lay trays, gas monitor contract</t>
  </si>
  <si>
    <t>Upgrade TICs, Gas Monitors, Manifold</t>
  </si>
  <si>
    <t>Add'l personnel to conferences</t>
  </si>
  <si>
    <t>7.5% Health Ins &amp; wellness increases</t>
  </si>
  <si>
    <t>Banquet changed to informal gathering</t>
  </si>
  <si>
    <t>Water pond maint &amp; station equip replacement</t>
  </si>
  <si>
    <t>Records Management expansion</t>
  </si>
  <si>
    <t>Moved mailer &amp; now semi-annual</t>
  </si>
  <si>
    <t>Estimated growth</t>
  </si>
  <si>
    <t>M&amp;O w/o Payroll, Benefits, Debt, Academy</t>
  </si>
  <si>
    <t>Higher revenue</t>
  </si>
  <si>
    <t>to Pub Ed</t>
  </si>
  <si>
    <t>Moved mailer to Public Education</t>
  </si>
  <si>
    <t>Increase in coverage &amp; rates</t>
  </si>
  <si>
    <t>Bond fees</t>
  </si>
  <si>
    <t>Interest rates still low</t>
  </si>
  <si>
    <t>Increased room rentals, tower rental</t>
  </si>
  <si>
    <t>Fire Academy class size &amp; 2 EMT classes</t>
  </si>
  <si>
    <t>No sale of apparatus planned</t>
  </si>
  <si>
    <t>To Travis County Fire Marshal's Office</t>
  </si>
  <si>
    <t>Battalion Chief</t>
  </si>
  <si>
    <t>Prevention position converted Battalion Chief</t>
  </si>
  <si>
    <t>Certified Tax Roll w/ 9.08 effective tax rate</t>
  </si>
  <si>
    <t>Higher property values and fees</t>
  </si>
</sst>
</file>

<file path=xl/styles.xml><?xml version="1.0" encoding="utf-8"?>
<styleSheet xmlns="http://schemas.openxmlformats.org/spreadsheetml/2006/main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m/d/yyyy;@"/>
    <numFmt numFmtId="168" formatCode="#,##0.0_);[Red]\(#,##0.0\)"/>
    <numFmt numFmtId="169" formatCode="0.0%"/>
  </numFmts>
  <fonts count="6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b/>
      <sz val="8"/>
      <name val="Times New Roman"/>
      <family val="1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b/>
      <u/>
      <sz val="11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i/>
      <sz val="9"/>
      <name val="Arial Narrow"/>
      <family val="2"/>
    </font>
    <font>
      <sz val="16"/>
      <name val="Arial Narrow"/>
      <family val="2"/>
    </font>
    <font>
      <b/>
      <i/>
      <sz val="10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b/>
      <u/>
      <sz val="10"/>
      <name val="Arial Narrow"/>
      <family val="2"/>
    </font>
    <font>
      <b/>
      <sz val="8"/>
      <name val="Arial Narrow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i/>
      <sz val="9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36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974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7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44" fontId="3" fillId="0" borderId="0" xfId="1" applyFont="1" applyBorder="1"/>
    <xf numFmtId="44" fontId="0" fillId="0" borderId="0" xfId="0" applyNumberFormat="1"/>
    <xf numFmtId="0" fontId="12" fillId="0" borderId="0" xfId="0" applyFont="1" applyBorder="1" applyAlignment="1">
      <alignment horizontal="left"/>
    </xf>
    <xf numFmtId="0" fontId="0" fillId="0" borderId="0" xfId="0" quotePrefix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8" fillId="0" borderId="13" xfId="0" applyFont="1" applyFill="1" applyBorder="1" applyAlignment="1">
      <alignment horizontal="left"/>
    </xf>
    <xf numFmtId="0" fontId="21" fillId="0" borderId="0" xfId="0" applyFont="1" applyBorder="1"/>
    <xf numFmtId="44" fontId="4" fillId="0" borderId="16" xfId="1" applyFont="1" applyBorder="1"/>
    <xf numFmtId="0" fontId="9" fillId="0" borderId="0" xfId="0" applyFont="1"/>
    <xf numFmtId="0" fontId="0" fillId="0" borderId="0" xfId="0" applyNumberFormat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44" fontId="12" fillId="0" borderId="0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44" fontId="15" fillId="0" borderId="16" xfId="1" applyFont="1" applyBorder="1"/>
    <xf numFmtId="0" fontId="12" fillId="0" borderId="1" xfId="0" applyFont="1" applyBorder="1" applyAlignment="1">
      <alignment horizontal="left"/>
    </xf>
    <xf numFmtId="0" fontId="9" fillId="0" borderId="1" xfId="0" applyFont="1" applyBorder="1"/>
    <xf numFmtId="44" fontId="12" fillId="0" borderId="16" xfId="1" applyFont="1" applyBorder="1" applyAlignment="1">
      <alignment horizontal="left"/>
    </xf>
    <xf numFmtId="0" fontId="17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44" fontId="9" fillId="0" borderId="1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7" fillId="0" borderId="16" xfId="0" applyFont="1" applyBorder="1" applyAlignment="1">
      <alignment horizontal="center"/>
    </xf>
    <xf numFmtId="44" fontId="12" fillId="0" borderId="16" xfId="0" applyNumberFormat="1" applyFont="1" applyBorder="1" applyAlignment="1">
      <alignment horizontal="center"/>
    </xf>
    <xf numFmtId="44" fontId="12" fillId="0" borderId="19" xfId="0" applyNumberFormat="1" applyFont="1" applyBorder="1" applyAlignment="1">
      <alignment horizontal="center"/>
    </xf>
    <xf numFmtId="44" fontId="12" fillId="0" borderId="21" xfId="0" applyNumberFormat="1" applyFont="1" applyBorder="1" applyAlignment="1">
      <alignment horizontal="center"/>
    </xf>
    <xf numFmtId="44" fontId="12" fillId="0" borderId="0" xfId="1" applyFont="1" applyBorder="1"/>
    <xf numFmtId="0" fontId="17" fillId="0" borderId="0" xfId="0" applyFont="1" applyBorder="1"/>
    <xf numFmtId="0" fontId="12" fillId="0" borderId="22" xfId="0" applyFont="1" applyBorder="1" applyAlignment="1">
      <alignment horizontal="left"/>
    </xf>
    <xf numFmtId="44" fontId="12" fillId="0" borderId="16" xfId="1" applyFont="1" applyBorder="1" applyAlignment="1">
      <alignment horizontal="center"/>
    </xf>
    <xf numFmtId="44" fontId="12" fillId="0" borderId="16" xfId="1" applyFont="1" applyBorder="1"/>
    <xf numFmtId="44" fontId="12" fillId="0" borderId="19" xfId="1" applyFont="1" applyBorder="1" applyAlignment="1">
      <alignment horizontal="left"/>
    </xf>
    <xf numFmtId="0" fontId="9" fillId="0" borderId="16" xfId="0" applyFont="1" applyBorder="1"/>
    <xf numFmtId="0" fontId="15" fillId="0" borderId="16" xfId="0" applyFont="1" applyBorder="1" applyAlignment="1">
      <alignment horizontal="center"/>
    </xf>
    <xf numFmtId="0" fontId="12" fillId="0" borderId="20" xfId="0" applyFont="1" applyBorder="1"/>
    <xf numFmtId="44" fontId="12" fillId="0" borderId="16" xfId="1" applyNumberFormat="1" applyFont="1" applyBorder="1"/>
    <xf numFmtId="0" fontId="12" fillId="0" borderId="16" xfId="0" applyFont="1" applyBorder="1"/>
    <xf numFmtId="0" fontId="22" fillId="0" borderId="16" xfId="0" applyFont="1" applyBorder="1" applyAlignment="1">
      <alignment horizontal="left"/>
    </xf>
    <xf numFmtId="44" fontId="9" fillId="0" borderId="16" xfId="0" applyNumberFormat="1" applyFont="1" applyBorder="1"/>
    <xf numFmtId="0" fontId="9" fillId="2" borderId="16" xfId="0" applyFont="1" applyFill="1" applyBorder="1"/>
    <xf numFmtId="0" fontId="9" fillId="0" borderId="16" xfId="0" applyFont="1" applyBorder="1" applyAlignment="1"/>
    <xf numFmtId="44" fontId="9" fillId="0" borderId="16" xfId="1" applyNumberFormat="1" applyFont="1" applyBorder="1" applyAlignment="1">
      <alignment horizontal="center"/>
    </xf>
    <xf numFmtId="44" fontId="9" fillId="0" borderId="16" xfId="0" applyNumberFormat="1" applyFont="1" applyFill="1" applyBorder="1"/>
    <xf numFmtId="44" fontId="9" fillId="0" borderId="21" xfId="0" applyNumberFormat="1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4" fontId="12" fillId="0" borderId="16" xfId="1" applyNumberFormat="1" applyFont="1" applyBorder="1" applyAlignment="1">
      <alignment horizontal="center"/>
    </xf>
    <xf numFmtId="44" fontId="12" fillId="0" borderId="16" xfId="0" applyNumberFormat="1" applyFont="1" applyBorder="1"/>
    <xf numFmtId="0" fontId="12" fillId="0" borderId="16" xfId="0" applyFont="1" applyBorder="1" applyAlignment="1">
      <alignment horizontal="left"/>
    </xf>
    <xf numFmtId="44" fontId="12" fillId="0" borderId="16" xfId="1" applyNumberFormat="1" applyFont="1" applyFill="1" applyBorder="1" applyAlignment="1"/>
    <xf numFmtId="0" fontId="12" fillId="0" borderId="16" xfId="0" applyFont="1" applyFill="1" applyBorder="1" applyAlignment="1">
      <alignment vertical="top"/>
    </xf>
    <xf numFmtId="0" fontId="12" fillId="0" borderId="19" xfId="0" applyFont="1" applyBorder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2" fillId="0" borderId="16" xfId="0" applyFont="1" applyBorder="1" applyAlignment="1"/>
    <xf numFmtId="0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9" fillId="0" borderId="28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44" fontId="5" fillId="3" borderId="25" xfId="1" applyFont="1" applyFill="1" applyBorder="1"/>
    <xf numFmtId="0" fontId="12" fillId="0" borderId="23" xfId="0" applyFont="1" applyBorder="1" applyAlignment="1">
      <alignment horizontal="center"/>
    </xf>
    <xf numFmtId="44" fontId="12" fillId="0" borderId="21" xfId="1" applyFont="1" applyBorder="1" applyAlignment="1">
      <alignment horizontal="center"/>
    </xf>
    <xf numFmtId="0" fontId="15" fillId="0" borderId="0" xfId="0" applyFont="1" applyBorder="1" applyAlignment="1"/>
    <xf numFmtId="0" fontId="15" fillId="3" borderId="25" xfId="0" applyFont="1" applyFill="1" applyBorder="1" applyAlignment="1">
      <alignment horizontal="center"/>
    </xf>
    <xf numFmtId="0" fontId="9" fillId="0" borderId="0" xfId="0" applyFont="1" applyBorder="1"/>
    <xf numFmtId="0" fontId="18" fillId="0" borderId="0" xfId="0" applyFont="1" applyBorder="1"/>
    <xf numFmtId="44" fontId="18" fillId="3" borderId="25" xfId="1" applyFont="1" applyFill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2" fillId="0" borderId="16" xfId="1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4" fontId="12" fillId="0" borderId="19" xfId="1" applyFont="1" applyBorder="1"/>
    <xf numFmtId="0" fontId="12" fillId="0" borderId="46" xfId="0" applyFont="1" applyBorder="1" applyAlignment="1">
      <alignment horizontal="center"/>
    </xf>
    <xf numFmtId="0" fontId="17" fillId="0" borderId="16" xfId="0" applyFont="1" applyBorder="1"/>
    <xf numFmtId="44" fontId="12" fillId="0" borderId="16" xfId="1" applyNumberFormat="1" applyFont="1" applyFill="1" applyBorder="1"/>
    <xf numFmtId="44" fontId="12" fillId="0" borderId="19" xfId="1" applyNumberFormat="1" applyFont="1" applyBorder="1" applyAlignment="1">
      <alignment horizontal="center"/>
    </xf>
    <xf numFmtId="44" fontId="12" fillId="0" borderId="19" xfId="0" applyNumberFormat="1" applyFont="1" applyBorder="1"/>
    <xf numFmtId="44" fontId="12" fillId="0" borderId="16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0" xfId="0" applyFont="1"/>
    <xf numFmtId="44" fontId="12" fillId="0" borderId="21" xfId="0" applyNumberFormat="1" applyFont="1" applyBorder="1"/>
    <xf numFmtId="0" fontId="12" fillId="0" borderId="46" xfId="0" applyFont="1" applyBorder="1"/>
    <xf numFmtId="0" fontId="27" fillId="0" borderId="16" xfId="1" applyNumberFormat="1" applyFont="1" applyBorder="1" applyAlignment="1">
      <alignment horizontal="center"/>
    </xf>
    <xf numFmtId="0" fontId="26" fillId="0" borderId="16" xfId="0" applyFont="1" applyBorder="1"/>
    <xf numFmtId="0" fontId="26" fillId="0" borderId="16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44" fontId="28" fillId="0" borderId="16" xfId="1" applyFont="1" applyBorder="1" applyAlignment="1">
      <alignment horizontal="center"/>
    </xf>
    <xf numFmtId="44" fontId="28" fillId="0" borderId="16" xfId="1" applyFont="1" applyBorder="1"/>
    <xf numFmtId="49" fontId="12" fillId="0" borderId="16" xfId="0" applyNumberFormat="1" applyFont="1" applyBorder="1" applyAlignment="1">
      <alignment horizontal="left"/>
    </xf>
    <xf numFmtId="44" fontId="12" fillId="0" borderId="16" xfId="1" applyNumberFormat="1" applyFont="1" applyBorder="1" applyAlignment="1">
      <alignment horizontal="left"/>
    </xf>
    <xf numFmtId="0" fontId="22" fillId="0" borderId="16" xfId="0" applyFont="1" applyBorder="1" applyAlignment="1">
      <alignment horizontal="center"/>
    </xf>
    <xf numFmtId="44" fontId="12" fillId="0" borderId="46" xfId="0" applyNumberFormat="1" applyFont="1" applyBorder="1" applyAlignment="1">
      <alignment horizontal="center"/>
    </xf>
    <xf numFmtId="0" fontId="27" fillId="0" borderId="0" xfId="0" applyFont="1" applyBorder="1"/>
    <xf numFmtId="0" fontId="22" fillId="0" borderId="16" xfId="0" applyFont="1" applyBorder="1" applyAlignment="1"/>
    <xf numFmtId="0" fontId="28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0" fillId="0" borderId="0" xfId="0" applyFont="1"/>
    <xf numFmtId="44" fontId="17" fillId="0" borderId="16" xfId="1" applyNumberFormat="1" applyFont="1" applyBorder="1" applyAlignment="1">
      <alignment horizontal="center"/>
    </xf>
    <xf numFmtId="44" fontId="12" fillId="0" borderId="51" xfId="0" applyNumberFormat="1" applyFont="1" applyBorder="1" applyAlignment="1">
      <alignment horizontal="center"/>
    </xf>
    <xf numFmtId="44" fontId="27" fillId="0" borderId="16" xfId="1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44" fontId="12" fillId="0" borderId="21" xfId="1" applyFont="1" applyBorder="1"/>
    <xf numFmtId="0" fontId="9" fillId="0" borderId="23" xfId="0" applyFont="1" applyBorder="1" applyAlignment="1">
      <alignment horizontal="center"/>
    </xf>
    <xf numFmtId="42" fontId="9" fillId="0" borderId="21" xfId="1" applyNumberFormat="1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44" fontId="11" fillId="0" borderId="55" xfId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2" fillId="0" borderId="0" xfId="1" applyFont="1" applyFill="1" applyBorder="1"/>
    <xf numFmtId="0" fontId="12" fillId="0" borderId="0" xfId="0" applyFont="1" applyFill="1" applyBorder="1"/>
    <xf numFmtId="0" fontId="21" fillId="0" borderId="0" xfId="0" applyFont="1" applyAlignment="1">
      <alignment horizontal="center" vertical="center"/>
    </xf>
    <xf numFmtId="42" fontId="9" fillId="2" borderId="2" xfId="0" applyNumberFormat="1" applyFont="1" applyFill="1" applyBorder="1"/>
    <xf numFmtId="42" fontId="9" fillId="2" borderId="12" xfId="0" applyNumberFormat="1" applyFont="1" applyFill="1" applyBorder="1"/>
    <xf numFmtId="42" fontId="9" fillId="2" borderId="33" xfId="0" applyNumberFormat="1" applyFont="1" applyFill="1" applyBorder="1"/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3" fillId="0" borderId="62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44" xfId="0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right" vertical="center"/>
    </xf>
    <xf numFmtId="0" fontId="0" fillId="0" borderId="49" xfId="0" applyBorder="1"/>
    <xf numFmtId="0" fontId="13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9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164" fontId="0" fillId="0" borderId="70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72" xfId="0" applyNumberFormat="1" applyBorder="1" applyAlignment="1">
      <alignment horizontal="center" vertical="center"/>
    </xf>
    <xf numFmtId="0" fontId="12" fillId="0" borderId="16" xfId="0" applyFont="1" applyFill="1" applyBorder="1" applyAlignment="1">
      <alignment vertical="top" wrapText="1"/>
    </xf>
    <xf numFmtId="0" fontId="8" fillId="0" borderId="0" xfId="2"/>
    <xf numFmtId="0" fontId="8" fillId="0" borderId="0" xfId="2" applyBorder="1"/>
    <xf numFmtId="0" fontId="9" fillId="0" borderId="0" xfId="2" applyFont="1" applyBorder="1" applyAlignment="1">
      <alignment textRotation="44"/>
    </xf>
    <xf numFmtId="0" fontId="9" fillId="0" borderId="0" xfId="2" applyFont="1" applyBorder="1"/>
    <xf numFmtId="165" fontId="8" fillId="0" borderId="0" xfId="2" applyNumberFormat="1" applyBorder="1" applyAlignment="1">
      <alignment horizontal="center"/>
    </xf>
    <xf numFmtId="0" fontId="6" fillId="0" borderId="26" xfId="2" applyFont="1" applyBorder="1" applyAlignme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/>
    <xf numFmtId="0" fontId="14" fillId="0" borderId="26" xfId="2" applyFont="1" applyBorder="1" applyAlignment="1"/>
    <xf numFmtId="165" fontId="6" fillId="0" borderId="26" xfId="2" applyNumberFormat="1" applyFont="1" applyBorder="1" applyAlignment="1">
      <alignment horizontal="center"/>
    </xf>
    <xf numFmtId="165" fontId="8" fillId="0" borderId="0" xfId="2" applyNumberFormat="1" applyBorder="1"/>
    <xf numFmtId="164" fontId="8" fillId="0" borderId="0" xfId="2" applyNumberFormat="1" applyBorder="1"/>
    <xf numFmtId="165" fontId="8" fillId="0" borderId="0" xfId="2" applyNumberFormat="1" applyFill="1" applyBorder="1"/>
    <xf numFmtId="0" fontId="8" fillId="0" borderId="74" xfId="0" applyNumberFormat="1" applyFont="1" applyBorder="1" applyAlignment="1">
      <alignment horizontal="center"/>
    </xf>
    <xf numFmtId="0" fontId="14" fillId="0" borderId="75" xfId="0" applyFont="1" applyBorder="1" applyAlignment="1">
      <alignment horizontal="left"/>
    </xf>
    <xf numFmtId="0" fontId="35" fillId="0" borderId="2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4" fontId="9" fillId="0" borderId="13" xfId="0" applyNumberFormat="1" applyFont="1" applyBorder="1"/>
    <xf numFmtId="0" fontId="9" fillId="0" borderId="13" xfId="0" applyFont="1" applyBorder="1"/>
    <xf numFmtId="0" fontId="23" fillId="0" borderId="13" xfId="0" applyFont="1" applyBorder="1" applyAlignment="1">
      <alignment horizontal="left" vertical="center"/>
    </xf>
    <xf numFmtId="42" fontId="9" fillId="0" borderId="13" xfId="1" applyNumberFormat="1" applyFont="1" applyBorder="1"/>
    <xf numFmtId="44" fontId="22" fillId="0" borderId="1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Border="1"/>
    <xf numFmtId="0" fontId="16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/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3" borderId="25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/>
    </xf>
    <xf numFmtId="44" fontId="9" fillId="0" borderId="19" xfId="0" applyNumberFormat="1" applyFont="1" applyBorder="1" applyAlignment="1">
      <alignment horizontal="center"/>
    </xf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2" fillId="0" borderId="20" xfId="0" applyFont="1" applyFill="1" applyBorder="1"/>
    <xf numFmtId="44" fontId="12" fillId="0" borderId="16" xfId="0" applyNumberFormat="1" applyFont="1" applyFill="1" applyBorder="1"/>
    <xf numFmtId="44" fontId="17" fillId="0" borderId="16" xfId="0" applyNumberFormat="1" applyFont="1" applyBorder="1" applyAlignment="1">
      <alignment horizontal="center"/>
    </xf>
    <xf numFmtId="0" fontId="17" fillId="0" borderId="0" xfId="0" applyFont="1" applyFill="1" applyBorder="1"/>
    <xf numFmtId="44" fontId="11" fillId="0" borderId="1" xfId="0" applyNumberFormat="1" applyFont="1" applyBorder="1"/>
    <xf numFmtId="44" fontId="11" fillId="0" borderId="1" xfId="0" applyNumberFormat="1" applyFont="1" applyBorder="1" applyAlignment="1">
      <alignment horizontal="center"/>
    </xf>
    <xf numFmtId="0" fontId="9" fillId="0" borderId="20" xfId="0" applyFont="1" applyBorder="1" applyAlignment="1"/>
    <xf numFmtId="0" fontId="3" fillId="0" borderId="0" xfId="0" applyFont="1" applyBorder="1" applyAlignment="1">
      <alignment horizontal="left"/>
    </xf>
    <xf numFmtId="44" fontId="9" fillId="0" borderId="16" xfId="1" applyFont="1" applyBorder="1"/>
    <xf numFmtId="44" fontId="9" fillId="0" borderId="21" xfId="0" applyNumberFormat="1" applyFont="1" applyBorder="1" applyAlignment="1">
      <alignment horizontal="center"/>
    </xf>
    <xf numFmtId="44" fontId="17" fillId="3" borderId="25" xfId="1" applyFont="1" applyFill="1" applyBorder="1"/>
    <xf numFmtId="0" fontId="12" fillId="0" borderId="81" xfId="0" applyFont="1" applyBorder="1"/>
    <xf numFmtId="44" fontId="36" fillId="0" borderId="16" xfId="0" applyNumberFormat="1" applyFont="1" applyBorder="1" applyAlignment="1">
      <alignment horizontal="center"/>
    </xf>
    <xf numFmtId="0" fontId="17" fillId="3" borderId="25" xfId="1" applyNumberFormat="1" applyFont="1" applyFill="1" applyBorder="1" applyAlignment="1">
      <alignment horizontal="center"/>
    </xf>
    <xf numFmtId="0" fontId="37" fillId="0" borderId="20" xfId="0" applyFont="1" applyBorder="1" applyAlignment="1">
      <alignment horizontal="left"/>
    </xf>
    <xf numFmtId="0" fontId="17" fillId="0" borderId="23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15" fillId="3" borderId="2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3" borderId="25" xfId="1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7" fillId="3" borderId="25" xfId="0" applyFont="1" applyFill="1" applyBorder="1" applyAlignment="1">
      <alignment horizontal="center"/>
    </xf>
    <xf numFmtId="44" fontId="17" fillId="0" borderId="16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left"/>
    </xf>
    <xf numFmtId="44" fontId="27" fillId="0" borderId="16" xfId="1" applyFont="1" applyBorder="1" applyAlignment="1"/>
    <xf numFmtId="0" fontId="28" fillId="0" borderId="0" xfId="0" applyFont="1" applyBorder="1"/>
    <xf numFmtId="0" fontId="12" fillId="0" borderId="79" xfId="0" applyFont="1" applyBorder="1" applyAlignment="1">
      <alignment horizontal="center"/>
    </xf>
    <xf numFmtId="44" fontId="27" fillId="0" borderId="16" xfId="1" applyFont="1" applyBorder="1"/>
    <xf numFmtId="44" fontId="12" fillId="0" borderId="21" xfId="1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4" fontId="9" fillId="0" borderId="16" xfId="1" applyFont="1" applyFill="1" applyBorder="1"/>
    <xf numFmtId="44" fontId="9" fillId="0" borderId="16" xfId="0" applyNumberFormat="1" applyFont="1" applyFill="1" applyBorder="1" applyAlignment="1">
      <alignment horizontal="center"/>
    </xf>
    <xf numFmtId="0" fontId="9" fillId="0" borderId="16" xfId="0" applyFont="1" applyBorder="1" applyAlignment="1">
      <alignment wrapText="1"/>
    </xf>
    <xf numFmtId="0" fontId="36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4" fontId="9" fillId="0" borderId="16" xfId="1" applyNumberFormat="1" applyFont="1" applyBorder="1"/>
    <xf numFmtId="0" fontId="12" fillId="0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40" fillId="0" borderId="0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0" applyFont="1" applyBorder="1"/>
    <xf numFmtId="0" fontId="38" fillId="0" borderId="16" xfId="0" applyFont="1" applyBorder="1" applyAlignment="1">
      <alignment horizontal="center"/>
    </xf>
    <xf numFmtId="44" fontId="17" fillId="0" borderId="16" xfId="1" applyFont="1" applyBorder="1"/>
    <xf numFmtId="0" fontId="41" fillId="0" borderId="0" xfId="0" applyFont="1" applyBorder="1" applyAlignment="1">
      <alignment horizontal="left"/>
    </xf>
    <xf numFmtId="44" fontId="12" fillId="0" borderId="19" xfId="1" applyNumberFormat="1" applyFont="1" applyBorder="1" applyAlignment="1">
      <alignment horizontal="left"/>
    </xf>
    <xf numFmtId="44" fontId="12" fillId="0" borderId="22" xfId="1" applyFont="1" applyBorder="1"/>
    <xf numFmtId="44" fontId="12" fillId="0" borderId="81" xfId="1" applyNumberFormat="1" applyFont="1" applyBorder="1"/>
    <xf numFmtId="44" fontId="9" fillId="0" borderId="81" xfId="0" applyNumberFormat="1" applyFont="1" applyBorder="1"/>
    <xf numFmtId="0" fontId="22" fillId="0" borderId="20" xfId="0" applyFont="1" applyFill="1" applyBorder="1" applyAlignment="1">
      <alignment horizontal="left"/>
    </xf>
    <xf numFmtId="44" fontId="22" fillId="0" borderId="16" xfId="0" applyNumberFormat="1" applyFont="1" applyBorder="1"/>
    <xf numFmtId="44" fontId="27" fillId="0" borderId="16" xfId="0" applyNumberFormat="1" applyFont="1" applyBorder="1" applyAlignment="1">
      <alignment horizontal="center"/>
    </xf>
    <xf numFmtId="44" fontId="12" fillId="0" borderId="21" xfId="1" applyNumberFormat="1" applyFont="1" applyBorder="1" applyAlignment="1">
      <alignment horizontal="left"/>
    </xf>
    <xf numFmtId="0" fontId="14" fillId="0" borderId="0" xfId="0" applyFont="1" applyBorder="1"/>
    <xf numFmtId="0" fontId="9" fillId="0" borderId="19" xfId="0" applyFont="1" applyBorder="1" applyAlignment="1">
      <alignment wrapText="1"/>
    </xf>
    <xf numFmtId="0" fontId="9" fillId="0" borderId="19" xfId="0" applyFont="1" applyBorder="1"/>
    <xf numFmtId="0" fontId="1" fillId="0" borderId="0" xfId="0" applyFont="1"/>
    <xf numFmtId="0" fontId="12" fillId="0" borderId="19" xfId="0" applyFont="1" applyFill="1" applyBorder="1" applyAlignment="1"/>
    <xf numFmtId="44" fontId="9" fillId="0" borderId="0" xfId="0" applyNumberFormat="1" applyFont="1"/>
    <xf numFmtId="0" fontId="44" fillId="0" borderId="4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84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4" fillId="3" borderId="25" xfId="0" applyFont="1" applyFill="1" applyBorder="1" applyAlignment="1">
      <alignment horizontal="left"/>
    </xf>
    <xf numFmtId="44" fontId="14" fillId="3" borderId="25" xfId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44" fontId="9" fillId="0" borderId="16" xfId="0" applyNumberFormat="1" applyFont="1" applyBorder="1" applyAlignment="1">
      <alignment horizontal="center" vertical="center"/>
    </xf>
    <xf numFmtId="0" fontId="9" fillId="0" borderId="46" xfId="0" applyFont="1" applyBorder="1"/>
    <xf numFmtId="0" fontId="14" fillId="0" borderId="25" xfId="0" applyFont="1" applyBorder="1" applyAlignment="1">
      <alignment horizontal="center"/>
    </xf>
    <xf numFmtId="0" fontId="24" fillId="0" borderId="0" xfId="0" applyFont="1" applyBorder="1"/>
    <xf numFmtId="42" fontId="9" fillId="0" borderId="76" xfId="0" applyNumberFormat="1" applyFont="1" applyBorder="1"/>
    <xf numFmtId="42" fontId="0" fillId="0" borderId="0" xfId="0" applyNumberFormat="1"/>
    <xf numFmtId="0" fontId="23" fillId="0" borderId="87" xfId="0" applyFont="1" applyBorder="1" applyAlignment="1">
      <alignment horizontal="left" vertical="center"/>
    </xf>
    <xf numFmtId="44" fontId="12" fillId="0" borderId="81" xfId="1" applyFont="1" applyBorder="1" applyAlignment="1">
      <alignment horizontal="left"/>
    </xf>
    <xf numFmtId="0" fontId="12" fillId="0" borderId="77" xfId="0" applyFont="1" applyBorder="1"/>
    <xf numFmtId="164" fontId="9" fillId="0" borderId="0" xfId="0" applyNumberFormat="1" applyFont="1" applyBorder="1" applyAlignment="1"/>
    <xf numFmtId="0" fontId="12" fillId="0" borderId="41" xfId="0" applyFont="1" applyBorder="1"/>
    <xf numFmtId="0" fontId="9" fillId="0" borderId="0" xfId="0" applyFont="1" applyAlignment="1">
      <alignment wrapText="1"/>
    </xf>
    <xf numFmtId="0" fontId="18" fillId="3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3" xfId="0" applyFont="1" applyBorder="1"/>
    <xf numFmtId="44" fontId="15" fillId="0" borderId="3" xfId="0" applyNumberFormat="1" applyFont="1" applyBorder="1"/>
    <xf numFmtId="0" fontId="15" fillId="0" borderId="1" xfId="0" applyFont="1" applyBorder="1"/>
    <xf numFmtId="0" fontId="15" fillId="0" borderId="2" xfId="0" applyFont="1" applyBorder="1"/>
    <xf numFmtId="44" fontId="15" fillId="0" borderId="10" xfId="0" applyNumberFormat="1" applyFont="1" applyBorder="1"/>
    <xf numFmtId="42" fontId="9" fillId="0" borderId="81" xfId="0" applyNumberFormat="1" applyFont="1" applyBorder="1"/>
    <xf numFmtId="166" fontId="12" fillId="0" borderId="54" xfId="0" applyNumberFormat="1" applyFont="1" applyBorder="1" applyAlignment="1">
      <alignment horizontal="center" vertical="center" wrapText="1"/>
    </xf>
    <xf numFmtId="0" fontId="14" fillId="0" borderId="16" xfId="0" applyFont="1" applyFill="1" applyBorder="1"/>
    <xf numFmtId="0" fontId="45" fillId="0" borderId="16" xfId="0" applyFont="1" applyBorder="1" applyAlignment="1">
      <alignment horizontal="center"/>
    </xf>
    <xf numFmtId="0" fontId="36" fillId="0" borderId="20" xfId="0" applyFont="1" applyFill="1" applyBorder="1"/>
    <xf numFmtId="0" fontId="9" fillId="0" borderId="20" xfId="0" applyFont="1" applyFill="1" applyBorder="1"/>
    <xf numFmtId="0" fontId="12" fillId="0" borderId="1" xfId="0" applyFont="1" applyBorder="1" applyAlignment="1"/>
    <xf numFmtId="0" fontId="9" fillId="0" borderId="20" xfId="0" applyFont="1" applyBorder="1" applyAlignment="1">
      <alignment horizontal="left" wrapText="1"/>
    </xf>
    <xf numFmtId="44" fontId="9" fillId="0" borderId="16" xfId="1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4" fontId="9" fillId="0" borderId="19" xfId="1" applyFont="1" applyBorder="1" applyAlignment="1">
      <alignment horizontal="left"/>
    </xf>
    <xf numFmtId="44" fontId="9" fillId="0" borderId="19" xfId="0" applyNumberFormat="1" applyFont="1" applyBorder="1"/>
    <xf numFmtId="44" fontId="9" fillId="0" borderId="21" xfId="1" applyFont="1" applyBorder="1" applyAlignment="1">
      <alignment horizontal="center"/>
    </xf>
    <xf numFmtId="0" fontId="9" fillId="0" borderId="81" xfId="0" applyFont="1" applyBorder="1"/>
    <xf numFmtId="0" fontId="9" fillId="0" borderId="20" xfId="0" applyFont="1" applyBorder="1"/>
    <xf numFmtId="0" fontId="12" fillId="3" borderId="53" xfId="0" applyFont="1" applyFill="1" applyBorder="1"/>
    <xf numFmtId="0" fontId="12" fillId="0" borderId="0" xfId="0" applyFont="1" applyAlignment="1">
      <alignment horizontal="center"/>
    </xf>
    <xf numFmtId="44" fontId="36" fillId="0" borderId="16" xfId="0" applyNumberFormat="1" applyFont="1" applyFill="1" applyBorder="1" applyAlignment="1">
      <alignment horizontal="center"/>
    </xf>
    <xf numFmtId="44" fontId="9" fillId="0" borderId="16" xfId="0" applyNumberFormat="1" applyFont="1" applyBorder="1" applyAlignment="1"/>
    <xf numFmtId="0" fontId="9" fillId="0" borderId="23" xfId="0" applyFont="1" applyBorder="1"/>
    <xf numFmtId="0" fontId="9" fillId="0" borderId="74" xfId="0" applyFont="1" applyBorder="1"/>
    <xf numFmtId="44" fontId="9" fillId="0" borderId="75" xfId="0" applyNumberFormat="1" applyFont="1" applyBorder="1"/>
    <xf numFmtId="44" fontId="9" fillId="0" borderId="16" xfId="1" applyNumberFormat="1" applyFont="1" applyBorder="1" applyAlignment="1"/>
    <xf numFmtId="44" fontId="9" fillId="0" borderId="16" xfId="1" applyNumberFormat="1" applyFont="1" applyFill="1" applyBorder="1" applyAlignment="1"/>
    <xf numFmtId="44" fontId="9" fillId="0" borderId="46" xfId="1" applyNumberFormat="1" applyFont="1" applyBorder="1" applyAlignment="1">
      <alignment horizontal="center"/>
    </xf>
    <xf numFmtId="44" fontId="9" fillId="0" borderId="46" xfId="1" applyNumberFormat="1" applyFont="1" applyBorder="1"/>
    <xf numFmtId="44" fontId="9" fillId="0" borderId="79" xfId="1" applyNumberFormat="1" applyFont="1" applyBorder="1" applyAlignment="1">
      <alignment horizontal="center"/>
    </xf>
    <xf numFmtId="44" fontId="45" fillId="0" borderId="16" xfId="1" applyFont="1" applyBorder="1" applyAlignment="1">
      <alignment horizontal="center"/>
    </xf>
    <xf numFmtId="44" fontId="9" fillId="0" borderId="16" xfId="1" applyNumberFormat="1" applyFont="1" applyFill="1" applyBorder="1"/>
    <xf numFmtId="44" fontId="9" fillId="0" borderId="19" xfId="1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9" fillId="0" borderId="16" xfId="0" applyFont="1" applyFill="1" applyBorder="1"/>
    <xf numFmtId="0" fontId="9" fillId="0" borderId="16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47" fillId="0" borderId="19" xfId="0" applyFont="1" applyFill="1" applyBorder="1"/>
    <xf numFmtId="0" fontId="11" fillId="0" borderId="16" xfId="0" applyFont="1" applyBorder="1" applyAlignment="1">
      <alignment horizontal="left"/>
    </xf>
    <xf numFmtId="44" fontId="45" fillId="0" borderId="16" xfId="1" applyNumberFormat="1" applyFont="1" applyBorder="1" applyAlignment="1">
      <alignment horizontal="center"/>
    </xf>
    <xf numFmtId="44" fontId="9" fillId="0" borderId="40" xfId="1" applyNumberFormat="1" applyFont="1" applyBorder="1"/>
    <xf numFmtId="44" fontId="9" fillId="0" borderId="21" xfId="1" applyNumberFormat="1" applyFont="1" applyBorder="1" applyAlignment="1">
      <alignment horizontal="center"/>
    </xf>
    <xf numFmtId="0" fontId="9" fillId="0" borderId="79" xfId="0" applyFont="1" applyBorder="1"/>
    <xf numFmtId="44" fontId="11" fillId="0" borderId="16" xfId="0" applyNumberFormat="1" applyFont="1" applyBorder="1"/>
    <xf numFmtId="44" fontId="9" fillId="0" borderId="46" xfId="0" applyNumberFormat="1" applyFont="1" applyBorder="1"/>
    <xf numFmtId="44" fontId="9" fillId="2" borderId="25" xfId="0" applyNumberFormat="1" applyFont="1" applyFill="1" applyBorder="1" applyAlignment="1">
      <alignment horizontal="center" vertical="center"/>
    </xf>
    <xf numFmtId="44" fontId="9" fillId="0" borderId="46" xfId="0" applyNumberFormat="1" applyFont="1" applyBorder="1" applyAlignment="1">
      <alignment horizontal="center" vertical="center"/>
    </xf>
    <xf numFmtId="44" fontId="11" fillId="0" borderId="19" xfId="0" applyNumberFormat="1" applyFont="1" applyFill="1" applyBorder="1"/>
    <xf numFmtId="0" fontId="14" fillId="0" borderId="16" xfId="0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44" fontId="9" fillId="0" borderId="46" xfId="0" applyNumberFormat="1" applyFont="1" applyFill="1" applyBorder="1"/>
    <xf numFmtId="0" fontId="9" fillId="0" borderId="47" xfId="0" applyFont="1" applyBorder="1"/>
    <xf numFmtId="44" fontId="9" fillId="0" borderId="21" xfId="1" applyFont="1" applyBorder="1"/>
    <xf numFmtId="44" fontId="9" fillId="0" borderId="16" xfId="1" applyFont="1" applyFill="1" applyBorder="1" applyAlignment="1">
      <alignment horizontal="left"/>
    </xf>
    <xf numFmtId="44" fontId="9" fillId="2" borderId="16" xfId="1" applyFont="1" applyFill="1" applyBorder="1"/>
    <xf numFmtId="44" fontId="9" fillId="0" borderId="19" xfId="1" applyFont="1" applyFill="1" applyBorder="1" applyAlignment="1">
      <alignment horizontal="left"/>
    </xf>
    <xf numFmtId="44" fontId="9" fillId="0" borderId="21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44" fontId="9" fillId="0" borderId="79" xfId="0" applyNumberFormat="1" applyFont="1" applyBorder="1" applyAlignment="1">
      <alignment horizontal="center"/>
    </xf>
    <xf numFmtId="0" fontId="9" fillId="0" borderId="19" xfId="0" applyFont="1" applyBorder="1" applyAlignment="1"/>
    <xf numFmtId="44" fontId="38" fillId="0" borderId="16" xfId="1" applyFont="1" applyBorder="1"/>
    <xf numFmtId="0" fontId="9" fillId="0" borderId="7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9" fillId="0" borderId="54" xfId="0" applyNumberFormat="1" applyFont="1" applyBorder="1" applyAlignment="1">
      <alignment horizontal="center" vertical="center" wrapText="1"/>
    </xf>
    <xf numFmtId="44" fontId="11" fillId="0" borderId="40" xfId="0" applyNumberFormat="1" applyFont="1" applyBorder="1"/>
    <xf numFmtId="0" fontId="0" fillId="0" borderId="13" xfId="0" applyBorder="1"/>
    <xf numFmtId="44" fontId="12" fillId="0" borderId="81" xfId="0" applyNumberFormat="1" applyFont="1" applyBorder="1"/>
    <xf numFmtId="0" fontId="22" fillId="0" borderId="0" xfId="0" applyFont="1"/>
    <xf numFmtId="0" fontId="22" fillId="0" borderId="1" xfId="0" applyFont="1" applyBorder="1" applyAlignment="1"/>
    <xf numFmtId="44" fontId="31" fillId="0" borderId="2" xfId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2" xfId="0" applyNumberFormat="1" applyFont="1" applyBorder="1"/>
    <xf numFmtId="0" fontId="22" fillId="0" borderId="1" xfId="0" applyFont="1" applyBorder="1"/>
    <xf numFmtId="0" fontId="22" fillId="0" borderId="20" xfId="0" applyFont="1" applyBorder="1" applyAlignment="1">
      <alignment horizontal="left"/>
    </xf>
    <xf numFmtId="0" fontId="22" fillId="0" borderId="19" xfId="0" applyFont="1" applyBorder="1"/>
    <xf numFmtId="44" fontId="36" fillId="0" borderId="19" xfId="0" applyNumberFormat="1" applyFont="1" applyBorder="1" applyAlignment="1">
      <alignment horizontal="center"/>
    </xf>
    <xf numFmtId="44" fontId="9" fillId="0" borderId="25" xfId="0" applyNumberFormat="1" applyFont="1" applyFill="1" applyBorder="1"/>
    <xf numFmtId="0" fontId="12" fillId="0" borderId="73" xfId="0" applyFont="1" applyBorder="1"/>
    <xf numFmtId="44" fontId="22" fillId="0" borderId="19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4" fontId="12" fillId="0" borderId="19" xfId="0" applyNumberFormat="1" applyFont="1" applyFill="1" applyBorder="1" applyAlignment="1">
      <alignment horizontal="center"/>
    </xf>
    <xf numFmtId="44" fontId="12" fillId="0" borderId="73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93" xfId="0" applyFont="1" applyBorder="1"/>
    <xf numFmtId="44" fontId="12" fillId="0" borderId="93" xfId="0" applyNumberFormat="1" applyFont="1" applyFill="1" applyBorder="1" applyAlignment="1">
      <alignment horizontal="center"/>
    </xf>
    <xf numFmtId="44" fontId="12" fillId="0" borderId="93" xfId="0" applyNumberFormat="1" applyFont="1" applyFill="1" applyBorder="1"/>
    <xf numFmtId="0" fontId="17" fillId="0" borderId="20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44" fontId="9" fillId="0" borderId="83" xfId="0" applyNumberFormat="1" applyFont="1" applyBorder="1"/>
    <xf numFmtId="0" fontId="18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4" fontId="15" fillId="0" borderId="3" xfId="1" applyNumberFormat="1" applyFont="1" applyBorder="1"/>
    <xf numFmtId="0" fontId="18" fillId="0" borderId="1" xfId="0" applyFont="1" applyBorder="1"/>
    <xf numFmtId="44" fontId="15" fillId="0" borderId="3" xfId="1" applyFont="1" applyBorder="1"/>
    <xf numFmtId="0" fontId="15" fillId="0" borderId="17" xfId="0" applyFont="1" applyBorder="1"/>
    <xf numFmtId="0" fontId="15" fillId="0" borderId="8" xfId="0" applyFont="1" applyBorder="1"/>
    <xf numFmtId="44" fontId="15" fillId="0" borderId="8" xfId="1" applyNumberFormat="1" applyFont="1" applyBorder="1"/>
    <xf numFmtId="0" fontId="18" fillId="0" borderId="18" xfId="0" applyFont="1" applyBorder="1"/>
    <xf numFmtId="0" fontId="15" fillId="0" borderId="13" xfId="0" applyFont="1" applyBorder="1"/>
    <xf numFmtId="44" fontId="15" fillId="0" borderId="13" xfId="0" applyNumberFormat="1" applyFont="1" applyBorder="1"/>
    <xf numFmtId="0" fontId="18" fillId="0" borderId="9" xfId="0" applyFont="1" applyBorder="1" applyAlignment="1">
      <alignment horizontal="right"/>
    </xf>
    <xf numFmtId="0" fontId="15" fillId="0" borderId="10" xfId="0" applyFont="1" applyBorder="1"/>
    <xf numFmtId="44" fontId="18" fillId="0" borderId="50" xfId="0" applyNumberFormat="1" applyFont="1" applyBorder="1"/>
    <xf numFmtId="44" fontId="15" fillId="0" borderId="2" xfId="1" applyNumberFormat="1" applyFont="1" applyBorder="1"/>
    <xf numFmtId="44" fontId="18" fillId="0" borderId="11" xfId="0" applyNumberFormat="1" applyFont="1" applyBorder="1"/>
    <xf numFmtId="0" fontId="15" fillId="0" borderId="11" xfId="0" applyFont="1" applyBorder="1"/>
    <xf numFmtId="44" fontId="18" fillId="0" borderId="2" xfId="0" applyNumberFormat="1" applyFont="1" applyBorder="1"/>
    <xf numFmtId="44" fontId="18" fillId="0" borderId="2" xfId="0" applyNumberFormat="1" applyFont="1" applyBorder="1" applyAlignment="1">
      <alignment horizontal="center"/>
    </xf>
    <xf numFmtId="44" fontId="18" fillId="0" borderId="2" xfId="1" applyNumberFormat="1" applyFont="1" applyBorder="1"/>
    <xf numFmtId="44" fontId="18" fillId="0" borderId="2" xfId="1" applyFont="1" applyBorder="1"/>
    <xf numFmtId="44" fontId="18" fillId="0" borderId="82" xfId="1" applyNumberFormat="1" applyFont="1" applyBorder="1"/>
    <xf numFmtId="8" fontId="9" fillId="0" borderId="0" xfId="0" applyNumberFormat="1" applyFont="1"/>
    <xf numFmtId="44" fontId="32" fillId="0" borderId="0" xfId="0" applyNumberFormat="1" applyFont="1"/>
    <xf numFmtId="0" fontId="36" fillId="0" borderId="19" xfId="0" applyFont="1" applyBorder="1" applyAlignment="1">
      <alignment horizontal="left"/>
    </xf>
    <xf numFmtId="0" fontId="14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25" fillId="0" borderId="94" xfId="0" applyFont="1" applyBorder="1" applyAlignment="1">
      <alignment horizontal="center" wrapText="1"/>
    </xf>
    <xf numFmtId="43" fontId="48" fillId="0" borderId="26" xfId="0" applyNumberFormat="1" applyFont="1" applyBorder="1" applyAlignment="1">
      <alignment horizontal="center" vertical="center" wrapText="1"/>
    </xf>
    <xf numFmtId="42" fontId="9" fillId="0" borderId="94" xfId="0" applyNumberFormat="1" applyFont="1" applyBorder="1"/>
    <xf numFmtId="0" fontId="14" fillId="0" borderId="27" xfId="0" applyNumberFormat="1" applyFont="1" applyBorder="1" applyAlignment="1">
      <alignment vertical="top"/>
    </xf>
    <xf numFmtId="0" fontId="14" fillId="0" borderId="86" xfId="0" applyFont="1" applyBorder="1" applyAlignment="1">
      <alignment vertical="top"/>
    </xf>
    <xf numFmtId="42" fontId="9" fillId="0" borderId="13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10" fillId="0" borderId="26" xfId="0" applyFont="1" applyBorder="1" applyAlignment="1">
      <alignment horizontal="left" vertical="center"/>
    </xf>
    <xf numFmtId="0" fontId="9" fillId="0" borderId="9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41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44" fontId="9" fillId="0" borderId="30" xfId="0" applyNumberFormat="1" applyFont="1" applyBorder="1"/>
    <xf numFmtId="0" fontId="9" fillId="0" borderId="26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9" fillId="2" borderId="15" xfId="0" applyNumberFormat="1" applyFont="1" applyFill="1" applyBorder="1"/>
    <xf numFmtId="42" fontId="9" fillId="0" borderId="0" xfId="0" applyNumberFormat="1" applyFont="1"/>
    <xf numFmtId="44" fontId="9" fillId="2" borderId="54" xfId="0" applyNumberFormat="1" applyFont="1" applyFill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0" fontId="49" fillId="0" borderId="0" xfId="0" applyFont="1"/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2" borderId="28" xfId="0" applyFont="1" applyFill="1" applyBorder="1"/>
    <xf numFmtId="42" fontId="49" fillId="0" borderId="29" xfId="0" applyNumberFormat="1" applyFont="1" applyFill="1" applyBorder="1"/>
    <xf numFmtId="42" fontId="49" fillId="0" borderId="3" xfId="0" applyNumberFormat="1" applyFont="1" applyFill="1" applyBorder="1"/>
    <xf numFmtId="0" fontId="49" fillId="2" borderId="1" xfId="0" applyFont="1" applyFill="1" applyBorder="1"/>
    <xf numFmtId="0" fontId="49" fillId="2" borderId="4" xfId="0" applyFont="1" applyFill="1" applyBorder="1"/>
    <xf numFmtId="42" fontId="49" fillId="0" borderId="24" xfId="0" applyNumberFormat="1" applyFont="1" applyFill="1" applyBorder="1"/>
    <xf numFmtId="0" fontId="49" fillId="2" borderId="28" xfId="0" applyFont="1" applyFill="1" applyBorder="1" applyAlignment="1">
      <alignment wrapText="1"/>
    </xf>
    <xf numFmtId="42" fontId="49" fillId="3" borderId="29" xfId="0" applyNumberFormat="1" applyFont="1" applyFill="1" applyBorder="1"/>
    <xf numFmtId="0" fontId="49" fillId="0" borderId="1" xfId="0" applyFont="1" applyBorder="1"/>
    <xf numFmtId="42" fontId="49" fillId="3" borderId="3" xfId="0" applyNumberFormat="1" applyFont="1" applyFill="1" applyBorder="1"/>
    <xf numFmtId="0" fontId="49" fillId="0" borderId="42" xfId="0" applyFont="1" applyBorder="1"/>
    <xf numFmtId="0" fontId="49" fillId="2" borderId="17" xfId="0" applyFont="1" applyFill="1" applyBorder="1"/>
    <xf numFmtId="42" fontId="49" fillId="0" borderId="8" xfId="0" applyNumberFormat="1" applyFont="1" applyFill="1" applyBorder="1"/>
    <xf numFmtId="44" fontId="9" fillId="0" borderId="94" xfId="0" applyNumberFormat="1" applyFont="1" applyFill="1" applyBorder="1" applyAlignment="1">
      <alignment horizontal="left"/>
    </xf>
    <xf numFmtId="44" fontId="9" fillId="0" borderId="94" xfId="0" applyNumberFormat="1" applyFont="1" applyBorder="1" applyAlignment="1">
      <alignment horizontal="left"/>
    </xf>
    <xf numFmtId="44" fontId="9" fillId="0" borderId="94" xfId="0" applyNumberFormat="1" applyFont="1" applyFill="1" applyBorder="1" applyAlignment="1"/>
    <xf numFmtId="0" fontId="51" fillId="0" borderId="16" xfId="0" applyFont="1" applyBorder="1"/>
    <xf numFmtId="0" fontId="9" fillId="0" borderId="43" xfId="0" applyFont="1" applyBorder="1" applyAlignment="1">
      <alignment vertical="center"/>
    </xf>
    <xf numFmtId="9" fontId="9" fillId="0" borderId="0" xfId="0" applyNumberFormat="1" applyFont="1"/>
    <xf numFmtId="0" fontId="52" fillId="0" borderId="0" xfId="0" applyFont="1"/>
    <xf numFmtId="0" fontId="42" fillId="0" borderId="0" xfId="0" applyFont="1" applyAlignment="1">
      <alignment horizontal="right"/>
    </xf>
    <xf numFmtId="0" fontId="36" fillId="0" borderId="19" xfId="0" applyFont="1" applyBorder="1"/>
    <xf numFmtId="8" fontId="9" fillId="0" borderId="21" xfId="0" applyNumberFormat="1" applyFont="1" applyBorder="1"/>
    <xf numFmtId="0" fontId="12" fillId="0" borderId="16" xfId="0" applyFont="1" applyFill="1" applyBorder="1" applyAlignment="1">
      <alignment horizontal="left" vertical="top"/>
    </xf>
    <xf numFmtId="44" fontId="12" fillId="0" borderId="16" xfId="1" applyNumberFormat="1" applyFont="1" applyBorder="1" applyAlignment="1"/>
    <xf numFmtId="0" fontId="49" fillId="0" borderId="28" xfId="0" applyFont="1" applyFill="1" applyBorder="1"/>
    <xf numFmtId="0" fontId="49" fillId="0" borderId="1" xfId="0" applyFont="1" applyFill="1" applyBorder="1"/>
    <xf numFmtId="0" fontId="49" fillId="0" borderId="4" xfId="0" applyFont="1" applyFill="1" applyBorder="1"/>
    <xf numFmtId="44" fontId="9" fillId="0" borderId="19" xfId="0" applyNumberFormat="1" applyFont="1" applyBorder="1" applyAlignment="1">
      <alignment horizontal="center" vertical="center"/>
    </xf>
    <xf numFmtId="0" fontId="9" fillId="6" borderId="26" xfId="0" applyFont="1" applyFill="1" applyBorder="1" applyAlignment="1">
      <alignment horizontal="center"/>
    </xf>
    <xf numFmtId="44" fontId="9" fillId="6" borderId="85" xfId="0" applyNumberFormat="1" applyFont="1" applyFill="1" applyBorder="1" applyAlignment="1">
      <alignment horizontal="center"/>
    </xf>
    <xf numFmtId="8" fontId="9" fillId="6" borderId="73" xfId="0" applyNumberFormat="1" applyFont="1" applyFill="1" applyBorder="1" applyAlignment="1">
      <alignment horizontal="center"/>
    </xf>
    <xf numFmtId="0" fontId="0" fillId="6" borderId="91" xfId="0" applyFill="1" applyBorder="1"/>
    <xf numFmtId="0" fontId="0" fillId="6" borderId="46" xfId="0" applyFill="1" applyBorder="1"/>
    <xf numFmtId="0" fontId="9" fillId="6" borderId="47" xfId="0" applyFont="1" applyFill="1" applyBorder="1" applyAlignment="1">
      <alignment horizontal="center"/>
    </xf>
    <xf numFmtId="164" fontId="0" fillId="6" borderId="95" xfId="0" applyNumberForma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44" fontId="9" fillId="6" borderId="101" xfId="0" applyNumberFormat="1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49" fillId="0" borderId="5" xfId="0" applyFont="1" applyBorder="1"/>
    <xf numFmtId="42" fontId="49" fillId="0" borderId="6" xfId="0" applyNumberFormat="1" applyFont="1" applyFill="1" applyBorder="1"/>
    <xf numFmtId="42" fontId="49" fillId="3" borderId="6" xfId="0" applyNumberFormat="1" applyFont="1" applyFill="1" applyBorder="1"/>
    <xf numFmtId="42" fontId="49" fillId="2" borderId="29" xfId="0" applyNumberFormat="1" applyFont="1" applyFill="1" applyBorder="1"/>
    <xf numFmtId="42" fontId="49" fillId="0" borderId="75" xfId="0" applyNumberFormat="1" applyFont="1" applyFill="1" applyBorder="1"/>
    <xf numFmtId="42" fontId="49" fillId="2" borderId="75" xfId="0" applyNumberFormat="1" applyFont="1" applyFill="1" applyBorder="1"/>
    <xf numFmtId="42" fontId="9" fillId="0" borderId="46" xfId="0" applyNumberFormat="1" applyFont="1" applyBorder="1"/>
    <xf numFmtId="44" fontId="11" fillId="0" borderId="102" xfId="1" applyFont="1" applyBorder="1" applyAlignment="1">
      <alignment horizontal="center"/>
    </xf>
    <xf numFmtId="44" fontId="31" fillId="0" borderId="16" xfId="1" applyFont="1" applyBorder="1" applyAlignment="1">
      <alignment horizontal="center" wrapText="1"/>
    </xf>
    <xf numFmtId="44" fontId="11" fillId="0" borderId="16" xfId="0" applyNumberFormat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31" fillId="0" borderId="1" xfId="1" applyFont="1" applyBorder="1" applyAlignment="1">
      <alignment horizontal="center"/>
    </xf>
    <xf numFmtId="44" fontId="11" fillId="0" borderId="103" xfId="0" applyNumberFormat="1" applyFont="1" applyBorder="1"/>
    <xf numFmtId="44" fontId="11" fillId="0" borderId="104" xfId="0" applyNumberFormat="1" applyFont="1" applyBorder="1"/>
    <xf numFmtId="0" fontId="9" fillId="0" borderId="52" xfId="0" applyFont="1" applyBorder="1" applyAlignment="1"/>
    <xf numFmtId="0" fontId="22" fillId="0" borderId="40" xfId="0" applyFont="1" applyBorder="1" applyAlignment="1">
      <alignment horizontal="left"/>
    </xf>
    <xf numFmtId="0" fontId="9" fillId="0" borderId="25" xfId="0" applyFont="1" applyBorder="1"/>
    <xf numFmtId="0" fontId="9" fillId="0" borderId="25" xfId="0" applyFont="1" applyBorder="1" applyAlignment="1"/>
    <xf numFmtId="42" fontId="49" fillId="0" borderId="13" xfId="0" applyNumberFormat="1" applyFont="1" applyFill="1" applyBorder="1"/>
    <xf numFmtId="0" fontId="49" fillId="0" borderId="74" xfId="0" applyFont="1" applyFill="1" applyBorder="1"/>
    <xf numFmtId="42" fontId="49" fillId="3" borderId="24" xfId="0" applyNumberFormat="1" applyFont="1" applyFill="1" applyBorder="1"/>
    <xf numFmtId="42" fontId="9" fillId="0" borderId="12" xfId="0" applyNumberFormat="1" applyFont="1" applyFill="1" applyBorder="1"/>
    <xf numFmtId="42" fontId="9" fillId="0" borderId="83" xfId="0" applyNumberFormat="1" applyFont="1" applyFill="1" applyBorder="1"/>
    <xf numFmtId="42" fontId="9" fillId="0" borderId="33" xfId="0" applyNumberFormat="1" applyFont="1" applyFill="1" applyBorder="1"/>
    <xf numFmtId="42" fontId="9" fillId="0" borderId="2" xfId="0" applyNumberFormat="1" applyFont="1" applyFill="1" applyBorder="1"/>
    <xf numFmtId="41" fontId="9" fillId="0" borderId="67" xfId="0" applyNumberFormat="1" applyFont="1" applyFill="1" applyBorder="1"/>
    <xf numFmtId="43" fontId="9" fillId="0" borderId="67" xfId="0" applyNumberFormat="1" applyFont="1" applyFill="1" applyBorder="1"/>
    <xf numFmtId="0" fontId="49" fillId="2" borderId="75" xfId="0" applyFont="1" applyFill="1" applyBorder="1"/>
    <xf numFmtId="0" fontId="20" fillId="2" borderId="29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0" fillId="0" borderId="0" xfId="0" applyFont="1" applyBorder="1"/>
    <xf numFmtId="0" fontId="9" fillId="0" borderId="47" xfId="0" applyFont="1" applyFill="1" applyBorder="1" applyAlignment="1">
      <alignment horizontal="center"/>
    </xf>
    <xf numFmtId="164" fontId="0" fillId="0" borderId="95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44" fontId="9" fillId="0" borderId="101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44" fontId="12" fillId="0" borderId="26" xfId="0" applyNumberFormat="1" applyFont="1" applyBorder="1"/>
    <xf numFmtId="44" fontId="11" fillId="0" borderId="85" xfId="0" applyNumberFormat="1" applyFont="1" applyBorder="1"/>
    <xf numFmtId="44" fontId="12" fillId="0" borderId="85" xfId="1" applyNumberFormat="1" applyFont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9" fillId="0" borderId="1" xfId="0" applyFont="1" applyFill="1" applyBorder="1"/>
    <xf numFmtId="0" fontId="54" fillId="0" borderId="3" xfId="0" applyFont="1" applyFill="1" applyBorder="1"/>
    <xf numFmtId="8" fontId="9" fillId="0" borderId="3" xfId="0" applyNumberFormat="1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7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56" xfId="0" applyFont="1" applyFill="1" applyBorder="1"/>
    <xf numFmtId="0" fontId="9" fillId="0" borderId="34" xfId="0" applyFont="1" applyFill="1" applyBorder="1"/>
    <xf numFmtId="0" fontId="9" fillId="0" borderId="87" xfId="0" applyFont="1" applyFill="1" applyBorder="1"/>
    <xf numFmtId="0" fontId="12" fillId="0" borderId="0" xfId="0" applyFont="1" applyFill="1"/>
    <xf numFmtId="0" fontId="9" fillId="0" borderId="78" xfId="0" applyFont="1" applyFill="1" applyBorder="1" applyAlignment="1">
      <alignment horizontal="center"/>
    </xf>
    <xf numFmtId="0" fontId="9" fillId="0" borderId="17" xfId="0" applyFont="1" applyBorder="1"/>
    <xf numFmtId="0" fontId="9" fillId="0" borderId="8" xfId="0" applyFont="1" applyBorder="1"/>
    <xf numFmtId="0" fontId="9" fillId="0" borderId="60" xfId="0" applyFont="1" applyBorder="1"/>
    <xf numFmtId="0" fontId="9" fillId="0" borderId="35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64" xfId="0" applyFont="1" applyBorder="1"/>
    <xf numFmtId="0" fontId="9" fillId="0" borderId="36" xfId="0" applyFont="1" applyBorder="1"/>
    <xf numFmtId="0" fontId="9" fillId="0" borderId="66" xfId="0" applyFont="1" applyBorder="1"/>
    <xf numFmtId="0" fontId="9" fillId="0" borderId="38" xfId="0" applyFont="1" applyBorder="1"/>
    <xf numFmtId="4" fontId="9" fillId="0" borderId="0" xfId="0" applyNumberFormat="1" applyFont="1"/>
    <xf numFmtId="164" fontId="9" fillId="0" borderId="0" xfId="0" applyNumberFormat="1" applyFont="1"/>
    <xf numFmtId="0" fontId="54" fillId="0" borderId="98" xfId="0" applyFont="1" applyFill="1" applyBorder="1"/>
    <xf numFmtId="0" fontId="11" fillId="0" borderId="0" xfId="0" applyFont="1"/>
    <xf numFmtId="44" fontId="12" fillId="0" borderId="40" xfId="0" applyNumberFormat="1" applyFont="1" applyBorder="1" applyAlignment="1">
      <alignment horizontal="center"/>
    </xf>
    <xf numFmtId="0" fontId="17" fillId="0" borderId="16" xfId="1" applyNumberFormat="1" applyFont="1" applyBorder="1" applyAlignment="1">
      <alignment horizontal="center" vertical="center"/>
    </xf>
    <xf numFmtId="0" fontId="22" fillId="0" borderId="16" xfId="0" applyFont="1" applyBorder="1"/>
    <xf numFmtId="0" fontId="9" fillId="0" borderId="54" xfId="0" applyFont="1" applyBorder="1" applyAlignment="1"/>
    <xf numFmtId="0" fontId="9" fillId="0" borderId="25" xfId="0" applyFont="1" applyFill="1" applyBorder="1"/>
    <xf numFmtId="0" fontId="9" fillId="0" borderId="46" xfId="0" applyFont="1" applyFill="1" applyBorder="1"/>
    <xf numFmtId="44" fontId="11" fillId="0" borderId="52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7" fillId="0" borderId="0" xfId="0" applyFont="1"/>
    <xf numFmtId="44" fontId="9" fillId="0" borderId="19" xfId="0" applyNumberFormat="1" applyFont="1" applyBorder="1" applyAlignment="1">
      <alignment vertical="center"/>
    </xf>
    <xf numFmtId="0" fontId="15" fillId="0" borderId="0" xfId="0" applyFont="1" applyAlignment="1">
      <alignment horizontal="right"/>
    </xf>
    <xf numFmtId="44" fontId="58" fillId="0" borderId="2" xfId="0" applyNumberFormat="1" applyFont="1" applyFill="1" applyBorder="1"/>
    <xf numFmtId="44" fontId="58" fillId="0" borderId="15" xfId="0" applyNumberFormat="1" applyFont="1" applyFill="1" applyBorder="1"/>
    <xf numFmtId="0" fontId="9" fillId="0" borderId="120" xfId="0" applyFont="1" applyBorder="1"/>
    <xf numFmtId="0" fontId="9" fillId="0" borderId="42" xfId="0" applyFont="1" applyBorder="1" applyAlignment="1">
      <alignment horizontal="center"/>
    </xf>
    <xf numFmtId="0" fontId="9" fillId="0" borderId="52" xfId="0" applyFont="1" applyBorder="1"/>
    <xf numFmtId="0" fontId="9" fillId="0" borderId="7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120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52" xfId="0" applyFont="1" applyBorder="1" applyAlignment="1">
      <alignment horizontal="right"/>
    </xf>
    <xf numFmtId="0" fontId="20" fillId="0" borderId="78" xfId="0" applyFont="1" applyBorder="1" applyAlignment="1">
      <alignment horizontal="center"/>
    </xf>
    <xf numFmtId="0" fontId="20" fillId="0" borderId="43" xfId="0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9" fillId="0" borderId="42" xfId="0" applyFont="1" applyBorder="1"/>
    <xf numFmtId="0" fontId="9" fillId="0" borderId="78" xfId="0" applyFont="1" applyBorder="1"/>
    <xf numFmtId="0" fontId="9" fillId="0" borderId="43" xfId="0" applyFont="1" applyBorder="1"/>
    <xf numFmtId="0" fontId="9" fillId="0" borderId="45" xfId="0" applyFont="1" applyBorder="1"/>
    <xf numFmtId="0" fontId="9" fillId="0" borderId="52" xfId="0" applyFont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0" fontId="22" fillId="0" borderId="19" xfId="0" applyFont="1" applyFill="1" applyBorder="1" applyAlignment="1"/>
    <xf numFmtId="44" fontId="22" fillId="0" borderId="16" xfId="0" applyNumberFormat="1" applyFont="1" applyFill="1" applyBorder="1"/>
    <xf numFmtId="44" fontId="22" fillId="0" borderId="81" xfId="0" applyNumberFormat="1" applyFont="1" applyBorder="1"/>
    <xf numFmtId="44" fontId="22" fillId="0" borderId="81" xfId="0" applyNumberFormat="1" applyFont="1" applyFill="1" applyBorder="1"/>
    <xf numFmtId="43" fontId="9" fillId="0" borderId="65" xfId="0" applyNumberFormat="1" applyFont="1" applyBorder="1"/>
    <xf numFmtId="0" fontId="0" fillId="2" borderId="121" xfId="0" applyFill="1" applyBorder="1"/>
    <xf numFmtId="0" fontId="0" fillId="2" borderId="122" xfId="0" applyFill="1" applyBorder="1"/>
    <xf numFmtId="0" fontId="9" fillId="0" borderId="26" xfId="0" applyFont="1" applyFill="1" applyBorder="1" applyAlignment="1">
      <alignment horizontal="center"/>
    </xf>
    <xf numFmtId="8" fontId="9" fillId="0" borderId="73" xfId="0" applyNumberFormat="1" applyFont="1" applyFill="1" applyBorder="1" applyAlignment="1">
      <alignment horizontal="center"/>
    </xf>
    <xf numFmtId="0" fontId="0" fillId="0" borderId="91" xfId="0" applyFill="1" applyBorder="1"/>
    <xf numFmtId="44" fontId="9" fillId="0" borderId="85" xfId="0" applyNumberFormat="1" applyFont="1" applyFill="1" applyBorder="1" applyAlignment="1">
      <alignment horizontal="center"/>
    </xf>
    <xf numFmtId="0" fontId="0" fillId="0" borderId="46" xfId="0" applyFill="1" applyBorder="1"/>
    <xf numFmtId="0" fontId="9" fillId="0" borderId="24" xfId="0" applyFont="1" applyFill="1" applyBorder="1"/>
    <xf numFmtId="0" fontId="9" fillId="0" borderId="8" xfId="0" applyFont="1" applyFill="1" applyBorder="1"/>
    <xf numFmtId="44" fontId="9" fillId="0" borderId="2" xfId="0" applyNumberFormat="1" applyFont="1" applyFill="1" applyBorder="1"/>
    <xf numFmtId="0" fontId="9" fillId="0" borderId="105" xfId="0" applyFont="1" applyBorder="1"/>
    <xf numFmtId="0" fontId="9" fillId="0" borderId="96" xfId="0" applyFont="1" applyBorder="1"/>
    <xf numFmtId="43" fontId="9" fillId="0" borderId="106" xfId="0" applyNumberFormat="1" applyFont="1" applyBorder="1"/>
    <xf numFmtId="0" fontId="9" fillId="0" borderId="107" xfId="0" applyFont="1" applyFill="1" applyBorder="1"/>
    <xf numFmtId="0" fontId="9" fillId="0" borderId="112" xfId="0" applyFont="1" applyFill="1" applyBorder="1"/>
    <xf numFmtId="0" fontId="9" fillId="0" borderId="116" xfId="0" applyFont="1" applyFill="1" applyBorder="1"/>
    <xf numFmtId="0" fontId="9" fillId="0" borderId="109" xfId="0" applyFont="1" applyBorder="1"/>
    <xf numFmtId="0" fontId="9" fillId="0" borderId="110" xfId="0" applyFont="1" applyBorder="1"/>
    <xf numFmtId="43" fontId="9" fillId="0" borderId="111" xfId="0" applyNumberFormat="1" applyFont="1" applyBorder="1"/>
    <xf numFmtId="42" fontId="9" fillId="0" borderId="40" xfId="0" applyNumberFormat="1" applyFont="1" applyBorder="1"/>
    <xf numFmtId="42" fontId="11" fillId="0" borderId="25" xfId="0" applyNumberFormat="1" applyFont="1" applyBorder="1"/>
    <xf numFmtId="42" fontId="9" fillId="0" borderId="25" xfId="0" applyNumberFormat="1" applyFont="1" applyBorder="1"/>
    <xf numFmtId="42" fontId="9" fillId="0" borderId="16" xfId="0" applyNumberFormat="1" applyFont="1" applyBorder="1"/>
    <xf numFmtId="42" fontId="11" fillId="0" borderId="40" xfId="0" applyNumberFormat="1" applyFont="1" applyBorder="1"/>
    <xf numFmtId="42" fontId="9" fillId="0" borderId="25" xfId="0" applyNumberFormat="1" applyFont="1" applyFill="1" applyBorder="1"/>
    <xf numFmtId="42" fontId="9" fillId="0" borderId="16" xfId="0" applyNumberFormat="1" applyFont="1" applyFill="1" applyBorder="1"/>
    <xf numFmtId="42" fontId="9" fillId="0" borderId="46" xfId="0" applyNumberFormat="1" applyFont="1" applyFill="1" applyBorder="1"/>
    <xf numFmtId="42" fontId="9" fillId="0" borderId="26" xfId="0" applyNumberFormat="1" applyFont="1" applyBorder="1"/>
    <xf numFmtId="42" fontId="9" fillId="0" borderId="73" xfId="0" applyNumberFormat="1" applyFont="1" applyBorder="1"/>
    <xf numFmtId="0" fontId="22" fillId="0" borderId="20" xfId="0" applyFont="1" applyFill="1" applyBorder="1"/>
    <xf numFmtId="0" fontId="12" fillId="0" borderId="74" xfId="0" applyFont="1" applyBorder="1" applyAlignment="1">
      <alignment horizontal="center"/>
    </xf>
    <xf numFmtId="44" fontId="12" fillId="0" borderId="79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44" fontId="12" fillId="0" borderId="46" xfId="1" applyNumberFormat="1" applyFont="1" applyBorder="1" applyAlignment="1">
      <alignment horizontal="center"/>
    </xf>
    <xf numFmtId="0" fontId="12" fillId="0" borderId="43" xfId="0" applyFont="1" applyFill="1" applyBorder="1" applyAlignment="1">
      <alignment horizontal="right"/>
    </xf>
    <xf numFmtId="44" fontId="9" fillId="0" borderId="79" xfId="0" applyNumberFormat="1" applyFont="1" applyFill="1" applyBorder="1"/>
    <xf numFmtId="0" fontId="22" fillId="0" borderId="23" xfId="0" applyFont="1" applyFill="1" applyBorder="1"/>
    <xf numFmtId="0" fontId="45" fillId="0" borderId="30" xfId="0" applyFont="1" applyBorder="1" applyAlignment="1">
      <alignment horizontal="center"/>
    </xf>
    <xf numFmtId="44" fontId="9" fillId="0" borderId="119" xfId="0" applyNumberFormat="1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44" fontId="12" fillId="0" borderId="30" xfId="1" applyNumberFormat="1" applyFont="1" applyBorder="1" applyAlignment="1">
      <alignment horizontal="left"/>
    </xf>
    <xf numFmtId="44" fontId="12" fillId="0" borderId="30" xfId="0" applyNumberFormat="1" applyFont="1" applyBorder="1"/>
    <xf numFmtId="44" fontId="12" fillId="0" borderId="31" xfId="0" applyNumberFormat="1" applyFont="1" applyBorder="1"/>
    <xf numFmtId="0" fontId="12" fillId="0" borderId="47" xfId="0" applyFont="1" applyBorder="1"/>
    <xf numFmtId="44" fontId="9" fillId="0" borderId="81" xfId="0" applyNumberFormat="1" applyFont="1" applyBorder="1" applyAlignment="1">
      <alignment horizontal="center"/>
    </xf>
    <xf numFmtId="44" fontId="9" fillId="0" borderId="19" xfId="1" applyFont="1" applyBorder="1"/>
    <xf numFmtId="44" fontId="9" fillId="0" borderId="19" xfId="1" applyNumberFormat="1" applyFont="1" applyBorder="1"/>
    <xf numFmtId="44" fontId="9" fillId="0" borderId="25" xfId="0" applyNumberFormat="1" applyFont="1" applyBorder="1"/>
    <xf numFmtId="0" fontId="9" fillId="2" borderId="46" xfId="0" applyFont="1" applyFill="1" applyBorder="1" applyAlignment="1"/>
    <xf numFmtId="44" fontId="11" fillId="0" borderId="46" xfId="0" applyNumberFormat="1" applyFont="1" applyFill="1" applyBorder="1"/>
    <xf numFmtId="0" fontId="9" fillId="2" borderId="19" xfId="0" applyFont="1" applyFill="1" applyBorder="1" applyAlignment="1"/>
    <xf numFmtId="0" fontId="9" fillId="2" borderId="25" xfId="0" applyFont="1" applyFill="1" applyBorder="1" applyAlignment="1"/>
    <xf numFmtId="44" fontId="11" fillId="0" borderId="25" xfId="0" applyNumberFormat="1" applyFont="1" applyFill="1" applyBorder="1"/>
    <xf numFmtId="44" fontId="11" fillId="0" borderId="19" xfId="0" applyNumberFormat="1" applyFont="1" applyBorder="1"/>
    <xf numFmtId="0" fontId="58" fillId="0" borderId="0" xfId="0" applyFont="1"/>
    <xf numFmtId="44" fontId="12" fillId="0" borderId="46" xfId="0" applyNumberFormat="1" applyFont="1" applyBorder="1"/>
    <xf numFmtId="0" fontId="12" fillId="0" borderId="52" xfId="0" applyFont="1" applyBorder="1"/>
    <xf numFmtId="44" fontId="36" fillId="0" borderId="16" xfId="1" applyFont="1" applyFill="1" applyBorder="1" applyAlignment="1">
      <alignment horizontal="left"/>
    </xf>
    <xf numFmtId="44" fontId="36" fillId="0" borderId="81" xfId="1" applyFont="1" applyFill="1" applyBorder="1" applyAlignment="1">
      <alignment horizontal="left"/>
    </xf>
    <xf numFmtId="44" fontId="9" fillId="0" borderId="81" xfId="1" applyFont="1" applyFill="1" applyBorder="1" applyAlignment="1">
      <alignment horizontal="left"/>
    </xf>
    <xf numFmtId="44" fontId="9" fillId="2" borderId="16" xfId="1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 wrapText="1"/>
    </xf>
    <xf numFmtId="44" fontId="12" fillId="0" borderId="91" xfId="1" applyNumberFormat="1" applyFont="1" applyBorder="1" applyAlignment="1"/>
    <xf numFmtId="0" fontId="22" fillId="0" borderId="16" xfId="0" applyFont="1" applyFill="1" applyBorder="1" applyAlignment="1">
      <alignment horizontal="left" vertical="top"/>
    </xf>
    <xf numFmtId="0" fontId="22" fillId="0" borderId="19" xfId="0" applyFont="1" applyBorder="1" applyAlignment="1">
      <alignment horizontal="left"/>
    </xf>
    <xf numFmtId="44" fontId="22" fillId="0" borderId="19" xfId="0" applyNumberFormat="1" applyFont="1" applyBorder="1"/>
    <xf numFmtId="44" fontId="36" fillId="0" borderId="16" xfId="0" applyNumberFormat="1" applyFont="1" applyBorder="1"/>
    <xf numFmtId="44" fontId="36" fillId="0" borderId="19" xfId="0" applyNumberFormat="1" applyFont="1" applyBorder="1"/>
    <xf numFmtId="0" fontId="12" fillId="0" borderId="19" xfId="0" applyFont="1" applyBorder="1" applyAlignment="1">
      <alignment horizontal="left"/>
    </xf>
    <xf numFmtId="44" fontId="12" fillId="0" borderId="81" xfId="0" applyNumberFormat="1" applyFont="1" applyBorder="1" applyAlignment="1">
      <alignment horizontal="center"/>
    </xf>
    <xf numFmtId="44" fontId="9" fillId="0" borderId="85" xfId="0" applyNumberFormat="1" applyFont="1" applyBorder="1" applyAlignment="1">
      <alignment horizontal="center"/>
    </xf>
    <xf numFmtId="44" fontId="9" fillId="0" borderId="26" xfId="0" applyNumberFormat="1" applyFont="1" applyBorder="1" applyAlignment="1">
      <alignment horizontal="center"/>
    </xf>
    <xf numFmtId="0" fontId="21" fillId="0" borderId="16" xfId="0" applyFont="1" applyBorder="1" applyAlignment="1"/>
    <xf numFmtId="0" fontId="27" fillId="0" borderId="52" xfId="0" applyFont="1" applyBorder="1"/>
    <xf numFmtId="44" fontId="12" fillId="0" borderId="26" xfId="1" applyNumberFormat="1" applyFont="1" applyBorder="1" applyAlignment="1">
      <alignment horizontal="center"/>
    </xf>
    <xf numFmtId="42" fontId="32" fillId="0" borderId="0" xfId="0" applyNumberFormat="1" applyFont="1" applyBorder="1"/>
    <xf numFmtId="0" fontId="29" fillId="0" borderId="16" xfId="0" applyFont="1" applyBorder="1" applyAlignment="1">
      <alignment horizontal="center"/>
    </xf>
    <xf numFmtId="0" fontId="0" fillId="0" borderId="124" xfId="0" applyBorder="1" applyAlignment="1">
      <alignment vertical="top"/>
    </xf>
    <xf numFmtId="44" fontId="9" fillId="0" borderId="123" xfId="0" applyNumberFormat="1" applyFont="1" applyBorder="1" applyAlignment="1">
      <alignment vertical="top"/>
    </xf>
    <xf numFmtId="44" fontId="9" fillId="0" borderId="29" xfId="0" applyNumberFormat="1" applyFont="1" applyFill="1" applyBorder="1"/>
    <xf numFmtId="44" fontId="9" fillId="0" borderId="3" xfId="0" applyNumberFormat="1" applyFont="1" applyFill="1" applyBorder="1"/>
    <xf numFmtId="44" fontId="9" fillId="0" borderId="24" xfId="0" applyNumberFormat="1" applyFont="1" applyFill="1" applyBorder="1"/>
    <xf numFmtId="44" fontId="9" fillId="0" borderId="8" xfId="0" applyNumberFormat="1" applyFont="1" applyFill="1" applyBorder="1"/>
    <xf numFmtId="44" fontId="9" fillId="0" borderId="6" xfId="0" applyNumberFormat="1" applyFont="1" applyFill="1" applyBorder="1"/>
    <xf numFmtId="44" fontId="9" fillId="0" borderId="8" xfId="0" applyNumberFormat="1" applyFont="1" applyBorder="1"/>
    <xf numFmtId="0" fontId="9" fillId="0" borderId="44" xfId="0" applyFont="1" applyBorder="1"/>
    <xf numFmtId="0" fontId="59" fillId="0" borderId="0" xfId="0" applyFont="1"/>
    <xf numFmtId="0" fontId="21" fillId="0" borderId="0" xfId="0" applyFont="1" applyAlignment="1">
      <alignment horizontal="center"/>
    </xf>
    <xf numFmtId="0" fontId="9" fillId="0" borderId="126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19" xfId="0" applyFont="1" applyBorder="1" applyAlignment="1">
      <alignment horizontal="center"/>
    </xf>
    <xf numFmtId="44" fontId="9" fillId="0" borderId="96" xfId="1" quotePrefix="1" applyNumberFormat="1" applyFont="1" applyFill="1" applyBorder="1"/>
    <xf numFmtId="44" fontId="9" fillId="0" borderId="3" xfId="1" quotePrefix="1" applyNumberFormat="1" applyFont="1" applyFill="1" applyBorder="1"/>
    <xf numFmtId="44" fontId="9" fillId="0" borderId="8" xfId="1" applyNumberFormat="1" applyFont="1" applyBorder="1"/>
    <xf numFmtId="44" fontId="9" fillId="0" borderId="29" xfId="1" applyNumberFormat="1" applyFont="1" applyBorder="1"/>
    <xf numFmtId="44" fontId="9" fillId="0" borderId="3" xfId="1" applyNumberFormat="1" applyFont="1" applyFill="1" applyBorder="1" applyAlignment="1">
      <alignment horizontal="right"/>
    </xf>
    <xf numFmtId="44" fontId="9" fillId="0" borderId="3" xfId="1" applyNumberFormat="1" applyFont="1" applyFill="1" applyBorder="1"/>
    <xf numFmtId="44" fontId="9" fillId="0" borderId="8" xfId="1" applyNumberFormat="1" applyFont="1" applyFill="1" applyBorder="1"/>
    <xf numFmtId="44" fontId="9" fillId="0" borderId="24" xfId="1" applyNumberFormat="1" applyFont="1" applyFill="1" applyBorder="1"/>
    <xf numFmtId="44" fontId="9" fillId="0" borderId="6" xfId="1" applyNumberFormat="1" applyFont="1" applyFill="1" applyBorder="1"/>
    <xf numFmtId="44" fontId="9" fillId="0" borderId="29" xfId="1" applyNumberFormat="1" applyFont="1" applyFill="1" applyBorder="1"/>
    <xf numFmtId="44" fontId="9" fillId="0" borderId="3" xfId="1" applyNumberFormat="1" applyFont="1" applyBorder="1"/>
    <xf numFmtId="43" fontId="9" fillId="0" borderId="77" xfId="1" applyNumberFormat="1" applyFont="1" applyBorder="1"/>
    <xf numFmtId="43" fontId="0" fillId="0" borderId="13" xfId="0" applyNumberFormat="1" applyBorder="1"/>
    <xf numFmtId="44" fontId="12" fillId="0" borderId="26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4" fontId="12" fillId="0" borderId="3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44" fontId="12" fillId="0" borderId="3" xfId="0" applyNumberFormat="1" applyFont="1" applyFill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22" fillId="0" borderId="3" xfId="0" applyNumberFormat="1" applyFont="1" applyBorder="1" applyAlignment="1">
      <alignment horizontal="center" vertical="center"/>
    </xf>
    <xf numFmtId="44" fontId="22" fillId="0" borderId="1" xfId="0" applyNumberFormat="1" applyFont="1" applyBorder="1" applyAlignment="1">
      <alignment horizontal="left" vertical="center"/>
    </xf>
    <xf numFmtId="44" fontId="9" fillId="0" borderId="3" xfId="0" applyNumberFormat="1" applyFont="1" applyBorder="1" applyAlignment="1">
      <alignment horizontal="center" vertical="center"/>
    </xf>
    <xf numFmtId="0" fontId="9" fillId="0" borderId="11" xfId="0" applyFont="1" applyFill="1" applyBorder="1"/>
    <xf numFmtId="0" fontId="9" fillId="8" borderId="0" xfId="0" applyFont="1" applyFill="1"/>
    <xf numFmtId="44" fontId="11" fillId="0" borderId="39" xfId="0" applyNumberFormat="1" applyFont="1" applyBorder="1" applyAlignment="1">
      <alignment horizontal="right"/>
    </xf>
    <xf numFmtId="0" fontId="9" fillId="0" borderId="118" xfId="0" applyFont="1" applyFill="1" applyBorder="1"/>
    <xf numFmtId="0" fontId="9" fillId="0" borderId="114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2" fillId="0" borderId="22" xfId="0" applyFont="1" applyFill="1" applyBorder="1"/>
    <xf numFmtId="44" fontId="9" fillId="0" borderId="31" xfId="0" applyNumberFormat="1" applyFont="1" applyBorder="1"/>
    <xf numFmtId="0" fontId="12" fillId="0" borderId="79" xfId="0" applyFont="1" applyBorder="1" applyAlignment="1">
      <alignment horizontal="center" vertical="center"/>
    </xf>
    <xf numFmtId="44" fontId="9" fillId="0" borderId="127" xfId="0" applyNumberFormat="1" applyFont="1" applyBorder="1" applyAlignment="1">
      <alignment horizontal="center" vertical="center"/>
    </xf>
    <xf numFmtId="43" fontId="9" fillId="0" borderId="108" xfId="0" applyNumberFormat="1" applyFont="1" applyFill="1" applyBorder="1"/>
    <xf numFmtId="44" fontId="12" fillId="0" borderId="30" xfId="1" applyNumberFormat="1" applyFont="1" applyFill="1" applyBorder="1"/>
    <xf numFmtId="44" fontId="9" fillId="2" borderId="46" xfId="0" applyNumberFormat="1" applyFont="1" applyFill="1" applyBorder="1" applyAlignment="1">
      <alignment horizontal="center" vertical="center"/>
    </xf>
    <xf numFmtId="44" fontId="9" fillId="0" borderId="26" xfId="0" applyNumberFormat="1" applyFont="1" applyBorder="1"/>
    <xf numFmtId="43" fontId="49" fillId="0" borderId="30" xfId="0" applyNumberFormat="1" applyFont="1" applyFill="1" applyBorder="1"/>
    <xf numFmtId="44" fontId="49" fillId="0" borderId="49" xfId="0" applyNumberFormat="1" applyFont="1" applyBorder="1"/>
    <xf numFmtId="44" fontId="49" fillId="0" borderId="42" xfId="0" applyNumberFormat="1" applyFont="1" applyBorder="1" applyAlignment="1">
      <alignment vertical="top"/>
    </xf>
    <xf numFmtId="44" fontId="49" fillId="0" borderId="78" xfId="0" applyNumberFormat="1" applyFont="1" applyBorder="1"/>
    <xf numFmtId="44" fontId="49" fillId="0" borderId="97" xfId="1" quotePrefix="1" applyNumberFormat="1" applyFont="1" applyFill="1" applyBorder="1"/>
    <xf numFmtId="44" fontId="49" fillId="0" borderId="2" xfId="1" quotePrefix="1" applyNumberFormat="1" applyFont="1" applyFill="1" applyBorder="1"/>
    <xf numFmtId="44" fontId="49" fillId="0" borderId="2" xfId="1" applyNumberFormat="1" applyFont="1" applyFill="1" applyBorder="1" applyAlignment="1">
      <alignment horizontal="right"/>
    </xf>
    <xf numFmtId="44" fontId="49" fillId="0" borderId="2" xfId="1" applyNumberFormat="1" applyFont="1" applyFill="1" applyBorder="1"/>
    <xf numFmtId="44" fontId="49" fillId="0" borderId="15" xfId="1" applyNumberFormat="1" applyFont="1" applyFill="1" applyBorder="1"/>
    <xf numFmtId="44" fontId="49" fillId="0" borderId="33" xfId="1" applyNumberFormat="1" applyFont="1" applyFill="1" applyBorder="1"/>
    <xf numFmtId="43" fontId="9" fillId="0" borderId="113" xfId="0" applyNumberFormat="1" applyFont="1" applyFill="1" applyBorder="1"/>
    <xf numFmtId="43" fontId="9" fillId="0" borderId="117" xfId="0" applyNumberFormat="1" applyFont="1" applyFill="1" applyBorder="1"/>
    <xf numFmtId="43" fontId="9" fillId="0" borderId="115" xfId="0" applyNumberFormat="1" applyFont="1" applyFill="1" applyBorder="1"/>
    <xf numFmtId="2" fontId="9" fillId="0" borderId="33" xfId="0" applyNumberFormat="1" applyFont="1" applyFill="1" applyBorder="1"/>
    <xf numFmtId="2" fontId="9" fillId="0" borderId="2" xfId="0" applyNumberFormat="1" applyFont="1" applyFill="1" applyBorder="1"/>
    <xf numFmtId="2" fontId="9" fillId="0" borderId="12" xfId="0" applyNumberFormat="1" applyFont="1" applyFill="1" applyBorder="1"/>
    <xf numFmtId="2" fontId="9" fillId="0" borderId="15" xfId="0" applyNumberFormat="1" applyFont="1" applyFill="1" applyBorder="1"/>
    <xf numFmtId="2" fontId="9" fillId="0" borderId="7" xfId="0" applyNumberFormat="1" applyFont="1" applyFill="1" applyBorder="1"/>
    <xf numFmtId="2" fontId="9" fillId="0" borderId="2" xfId="0" applyNumberFormat="1" applyFont="1" applyBorder="1"/>
    <xf numFmtId="44" fontId="12" fillId="0" borderId="16" xfId="0" applyNumberFormat="1" applyFont="1" applyBorder="1" applyAlignment="1">
      <alignment vertical="center"/>
    </xf>
    <xf numFmtId="8" fontId="9" fillId="0" borderId="128" xfId="0" applyNumberFormat="1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4" fillId="0" borderId="54" xfId="0" applyFont="1" applyBorder="1" applyAlignment="1">
      <alignment horizontal="center"/>
    </xf>
    <xf numFmtId="43" fontId="9" fillId="0" borderId="40" xfId="0" applyNumberFormat="1" applyFont="1" applyBorder="1"/>
    <xf numFmtId="43" fontId="9" fillId="0" borderId="25" xfId="0" applyNumberFormat="1" applyFont="1" applyBorder="1"/>
    <xf numFmtId="43" fontId="9" fillId="0" borderId="16" xfId="0" applyNumberFormat="1" applyFont="1" applyBorder="1"/>
    <xf numFmtId="43" fontId="9" fillId="0" borderId="46" xfId="0" applyNumberFormat="1" applyFont="1" applyBorder="1"/>
    <xf numFmtId="43" fontId="9" fillId="0" borderId="40" xfId="0" applyNumberFormat="1" applyFont="1" applyFill="1" applyBorder="1"/>
    <xf numFmtId="43" fontId="9" fillId="0" borderId="25" xfId="0" applyNumberFormat="1" applyFont="1" applyFill="1" applyBorder="1"/>
    <xf numFmtId="43" fontId="9" fillId="0" borderId="16" xfId="0" applyNumberFormat="1" applyFont="1" applyFill="1" applyBorder="1"/>
    <xf numFmtId="43" fontId="9" fillId="0" borderId="46" xfId="0" applyNumberFormat="1" applyFont="1" applyFill="1" applyBorder="1"/>
    <xf numFmtId="43" fontId="9" fillId="0" borderId="21" xfId="1" applyNumberFormat="1" applyFont="1" applyBorder="1" applyAlignment="1">
      <alignment horizontal="center"/>
    </xf>
    <xf numFmtId="44" fontId="57" fillId="0" borderId="2" xfId="0" applyNumberFormat="1" applyFont="1" applyFill="1" applyBorder="1"/>
    <xf numFmtId="44" fontId="11" fillId="0" borderId="26" xfId="0" applyNumberFormat="1" applyFont="1" applyBorder="1"/>
    <xf numFmtId="0" fontId="1" fillId="0" borderId="0" xfId="0" applyFont="1" applyAlignment="1">
      <alignment horizontal="center"/>
    </xf>
    <xf numFmtId="0" fontId="12" fillId="0" borderId="73" xfId="0" applyFont="1" applyBorder="1" applyAlignment="1">
      <alignment horizontal="left"/>
    </xf>
    <xf numFmtId="44" fontId="12" fillId="0" borderId="73" xfId="1" applyFont="1" applyBorder="1"/>
    <xf numFmtId="0" fontId="17" fillId="0" borderId="19" xfId="0" applyFont="1" applyBorder="1" applyAlignment="1">
      <alignment horizontal="center"/>
    </xf>
    <xf numFmtId="0" fontId="17" fillId="0" borderId="19" xfId="1" applyNumberFormat="1" applyFont="1" applyBorder="1" applyAlignment="1">
      <alignment horizontal="center"/>
    </xf>
    <xf numFmtId="44" fontId="15" fillId="0" borderId="2" xfId="1" applyNumberFormat="1" applyFont="1" applyFill="1" applyBorder="1"/>
    <xf numFmtId="0" fontId="22" fillId="0" borderId="20" xfId="0" applyFont="1" applyBorder="1" applyAlignment="1">
      <alignment wrapText="1"/>
    </xf>
    <xf numFmtId="0" fontId="22" fillId="0" borderId="20" xfId="0" applyFont="1" applyBorder="1" applyAlignment="1">
      <alignment horizontal="center"/>
    </xf>
    <xf numFmtId="0" fontId="22" fillId="0" borderId="20" xfId="0" applyFont="1" applyBorder="1"/>
    <xf numFmtId="0" fontId="22" fillId="0" borderId="46" xfId="0" applyFont="1" applyBorder="1" applyAlignment="1">
      <alignment horizontal="left"/>
    </xf>
    <xf numFmtId="44" fontId="12" fillId="0" borderId="1" xfId="0" applyNumberFormat="1" applyFont="1" applyBorder="1" applyAlignment="1">
      <alignment horizontal="left" vertical="center"/>
    </xf>
    <xf numFmtId="0" fontId="36" fillId="0" borderId="16" xfId="0" applyFont="1" applyBorder="1" applyAlignment="1">
      <alignment wrapText="1"/>
    </xf>
    <xf numFmtId="0" fontId="36" fillId="0" borderId="23" xfId="0" applyFont="1" applyBorder="1"/>
    <xf numFmtId="0" fontId="9" fillId="0" borderId="74" xfId="0" applyFont="1" applyFill="1" applyBorder="1"/>
    <xf numFmtId="0" fontId="9" fillId="0" borderId="75" xfId="0" applyFont="1" applyFill="1" applyBorder="1"/>
    <xf numFmtId="44" fontId="9" fillId="0" borderId="44" xfId="0" applyNumberFormat="1" applyFont="1" applyFill="1" applyBorder="1"/>
    <xf numFmtId="44" fontId="9" fillId="0" borderId="77" xfId="0" applyNumberFormat="1" applyFont="1" applyFill="1" applyBorder="1"/>
    <xf numFmtId="0" fontId="9" fillId="0" borderId="22" xfId="0" applyFont="1" applyFill="1" applyBorder="1"/>
    <xf numFmtId="167" fontId="9" fillId="0" borderId="1" xfId="0" applyNumberFormat="1" applyFont="1" applyFill="1" applyBorder="1" applyAlignment="1">
      <alignment horizontal="right"/>
    </xf>
    <xf numFmtId="167" fontId="9" fillId="0" borderId="20" xfId="0" applyNumberFormat="1" applyFont="1" applyFill="1" applyBorder="1" applyAlignment="1">
      <alignment horizontal="right"/>
    </xf>
    <xf numFmtId="44" fontId="9" fillId="0" borderId="33" xfId="0" applyNumberFormat="1" applyFont="1" applyBorder="1"/>
    <xf numFmtId="44" fontId="21" fillId="0" borderId="0" xfId="0" applyNumberFormat="1" applyFont="1" applyFill="1" applyAlignment="1">
      <alignment horizontal="center" wrapText="1"/>
    </xf>
    <xf numFmtId="44" fontId="9" fillId="0" borderId="86" xfId="0" applyNumberFormat="1" applyFont="1" applyFill="1" applyBorder="1"/>
    <xf numFmtId="44" fontId="9" fillId="0" borderId="94" xfId="0" applyNumberFormat="1" applyFont="1" applyFill="1" applyBorder="1"/>
    <xf numFmtId="44" fontId="9" fillId="0" borderId="125" xfId="0" applyNumberFormat="1" applyFont="1" applyFill="1" applyBorder="1"/>
    <xf numFmtId="44" fontId="9" fillId="0" borderId="0" xfId="0" applyNumberFormat="1" applyFont="1" applyFill="1"/>
    <xf numFmtId="44" fontId="9" fillId="0" borderId="0" xfId="0" applyNumberFormat="1" applyFont="1" applyBorder="1"/>
    <xf numFmtId="44" fontId="9" fillId="0" borderId="0" xfId="0" applyNumberFormat="1" applyFont="1" applyFill="1" applyBorder="1"/>
    <xf numFmtId="44" fontId="11" fillId="0" borderId="0" xfId="0" applyNumberFormat="1" applyFont="1" applyFill="1" applyAlignment="1">
      <alignment horizontal="center" wrapText="1"/>
    </xf>
    <xf numFmtId="44" fontId="9" fillId="0" borderId="77" xfId="0" applyNumberFormat="1" applyFont="1" applyBorder="1"/>
    <xf numFmtId="44" fontId="14" fillId="0" borderId="2" xfId="0" applyNumberFormat="1" applyFont="1" applyFill="1" applyBorder="1"/>
    <xf numFmtId="0" fontId="56" fillId="0" borderId="0" xfId="0" applyFont="1" applyFill="1" applyBorder="1"/>
    <xf numFmtId="9" fontId="56" fillId="2" borderId="0" xfId="0" applyNumberFormat="1" applyFont="1" applyFill="1" applyBorder="1"/>
    <xf numFmtId="8" fontId="56" fillId="2" borderId="0" xfId="0" applyNumberFormat="1" applyFont="1" applyFill="1" applyBorder="1"/>
    <xf numFmtId="0" fontId="56" fillId="2" borderId="0" xfId="0" applyFont="1" applyFill="1" applyBorder="1"/>
    <xf numFmtId="0" fontId="9" fillId="2" borderId="0" xfId="0" applyFont="1" applyFill="1" applyBorder="1"/>
    <xf numFmtId="8" fontId="9" fillId="0" borderId="0" xfId="0" applyNumberFormat="1" applyFont="1" applyBorder="1"/>
    <xf numFmtId="0" fontId="9" fillId="0" borderId="1" xfId="0" applyFont="1" applyFill="1" applyBorder="1" applyAlignment="1">
      <alignment wrapText="1"/>
    </xf>
    <xf numFmtId="168" fontId="20" fillId="0" borderId="29" xfId="0" applyNumberFormat="1" applyFont="1" applyFill="1" applyBorder="1"/>
    <xf numFmtId="44" fontId="20" fillId="0" borderId="29" xfId="0" applyNumberFormat="1" applyFont="1" applyFill="1" applyBorder="1"/>
    <xf numFmtId="44" fontId="20" fillId="0" borderId="33" xfId="0" applyNumberFormat="1" applyFont="1" applyFill="1" applyBorder="1"/>
    <xf numFmtId="44" fontId="9" fillId="0" borderId="57" xfId="0" applyNumberFormat="1" applyFont="1" applyBorder="1"/>
    <xf numFmtId="44" fontId="11" fillId="0" borderId="3" xfId="0" applyNumberFormat="1" applyFont="1" applyFill="1" applyBorder="1"/>
    <xf numFmtId="44" fontId="9" fillId="0" borderId="3" xfId="0" applyNumberFormat="1" applyFont="1" applyFill="1" applyBorder="1" applyAlignment="1">
      <alignment horizontal="center"/>
    </xf>
    <xf numFmtId="44" fontId="9" fillId="0" borderId="33" xfId="0" applyNumberFormat="1" applyFont="1" applyFill="1" applyBorder="1"/>
    <xf numFmtId="44" fontId="9" fillId="0" borderId="58" xfId="0" applyNumberFormat="1" applyFont="1" applyFill="1" applyBorder="1"/>
    <xf numFmtId="44" fontId="9" fillId="0" borderId="61" xfId="0" applyNumberFormat="1" applyFont="1" applyBorder="1"/>
    <xf numFmtId="169" fontId="0" fillId="0" borderId="0" xfId="0" applyNumberFormat="1"/>
    <xf numFmtId="0" fontId="9" fillId="0" borderId="28" xfId="0" applyFont="1" applyBorder="1"/>
    <xf numFmtId="0" fontId="9" fillId="0" borderId="4" xfId="0" applyFont="1" applyBorder="1"/>
    <xf numFmtId="0" fontId="9" fillId="0" borderId="53" xfId="0" applyFont="1" applyBorder="1"/>
    <xf numFmtId="0" fontId="9" fillId="0" borderId="77" xfId="0" applyFont="1" applyBorder="1"/>
    <xf numFmtId="0" fontId="11" fillId="0" borderId="77" xfId="0" applyFont="1" applyBorder="1"/>
    <xf numFmtId="0" fontId="9" fillId="0" borderId="130" xfId="0" applyFont="1" applyBorder="1"/>
    <xf numFmtId="0" fontId="9" fillId="0" borderId="29" xfId="0" applyFont="1" applyBorder="1"/>
    <xf numFmtId="0" fontId="20" fillId="0" borderId="3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15" fillId="3" borderId="32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4" fontId="31" fillId="0" borderId="20" xfId="1" applyFont="1" applyBorder="1" applyAlignment="1">
      <alignment horizontal="center" wrapText="1"/>
    </xf>
    <xf numFmtId="44" fontId="9" fillId="0" borderId="20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20" xfId="0" applyNumberFormat="1" applyFont="1" applyBorder="1"/>
    <xf numFmtId="44" fontId="11" fillId="0" borderId="52" xfId="0" applyNumberFormat="1" applyFont="1" applyBorder="1"/>
    <xf numFmtId="44" fontId="11" fillId="0" borderId="80" xfId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9" fillId="0" borderId="0" xfId="0" applyNumberFormat="1" applyFont="1" applyFill="1"/>
    <xf numFmtId="44" fontId="12" fillId="0" borderId="16" xfId="0" applyNumberFormat="1" applyFont="1" applyFill="1" applyBorder="1" applyAlignment="1">
      <alignment horizontal="center"/>
    </xf>
    <xf numFmtId="44" fontId="12" fillId="0" borderId="16" xfId="0" applyNumberFormat="1" applyFont="1" applyFill="1" applyBorder="1" applyAlignment="1">
      <alignment vertical="center"/>
    </xf>
    <xf numFmtId="44" fontId="12" fillId="0" borderId="16" xfId="1" applyFont="1" applyFill="1" applyBorder="1"/>
    <xf numFmtId="42" fontId="9" fillId="0" borderId="92" xfId="1" applyNumberFormat="1" applyFont="1" applyBorder="1"/>
    <xf numFmtId="42" fontId="0" fillId="0" borderId="13" xfId="0" applyNumberFormat="1" applyBorder="1"/>
    <xf numFmtId="42" fontId="49" fillId="0" borderId="88" xfId="1" applyNumberFormat="1" applyFont="1" applyFill="1" applyBorder="1"/>
    <xf numFmtId="43" fontId="49" fillId="0" borderId="33" xfId="0" applyNumberFormat="1" applyFont="1" applyFill="1" applyBorder="1"/>
    <xf numFmtId="0" fontId="24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1" fillId="0" borderId="1" xfId="0" applyFont="1" applyFill="1" applyBorder="1"/>
    <xf numFmtId="0" fontId="1" fillId="0" borderId="0" xfId="2" applyFont="1" applyBorder="1"/>
    <xf numFmtId="44" fontId="18" fillId="0" borderId="0" xfId="0" applyNumberFormat="1" applyFont="1" applyBorder="1"/>
    <xf numFmtId="44" fontId="15" fillId="0" borderId="0" xfId="0" applyNumberFormat="1" applyFont="1" applyBorder="1"/>
    <xf numFmtId="44" fontId="9" fillId="0" borderId="7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4" fontId="9" fillId="0" borderId="75" xfId="0" applyNumberFormat="1" applyFont="1" applyFill="1" applyBorder="1"/>
    <xf numFmtId="2" fontId="9" fillId="0" borderId="83" xfId="0" applyNumberFormat="1" applyFont="1" applyFill="1" applyBorder="1"/>
    <xf numFmtId="0" fontId="55" fillId="0" borderId="44" xfId="0" applyFont="1" applyFill="1" applyBorder="1"/>
    <xf numFmtId="0" fontId="9" fillId="0" borderId="44" xfId="0" applyFont="1" applyFill="1" applyBorder="1" applyAlignment="1">
      <alignment horizontal="center"/>
    </xf>
    <xf numFmtId="0" fontId="9" fillId="0" borderId="94" xfId="0" applyFont="1" applyBorder="1"/>
    <xf numFmtId="2" fontId="9" fillId="0" borderId="0" xfId="0" applyNumberFormat="1" applyFont="1" applyAlignment="1">
      <alignment horizontal="center"/>
    </xf>
    <xf numFmtId="0" fontId="9" fillId="0" borderId="132" xfId="0" applyFont="1" applyFill="1" applyBorder="1"/>
    <xf numFmtId="0" fontId="9" fillId="0" borderId="98" xfId="0" applyFont="1" applyFill="1" applyBorder="1"/>
    <xf numFmtId="43" fontId="9" fillId="0" borderId="133" xfId="0" applyNumberFormat="1" applyFont="1" applyFill="1" applyBorder="1"/>
    <xf numFmtId="43" fontId="9" fillId="0" borderId="137" xfId="0" applyNumberFormat="1" applyFont="1" applyFill="1" applyBorder="1"/>
    <xf numFmtId="0" fontId="9" fillId="0" borderId="138" xfId="0" applyFont="1" applyFill="1" applyBorder="1"/>
    <xf numFmtId="0" fontId="9" fillId="0" borderId="139" xfId="0" applyFont="1" applyFill="1" applyBorder="1"/>
    <xf numFmtId="0" fontId="9" fillId="0" borderId="77" xfId="0" applyFont="1" applyFill="1" applyBorder="1"/>
    <xf numFmtId="0" fontId="9" fillId="0" borderId="125" xfId="0" applyFont="1" applyFill="1" applyBorder="1"/>
    <xf numFmtId="167" fontId="9" fillId="0" borderId="140" xfId="0" applyNumberFormat="1" applyFont="1" applyFill="1" applyBorder="1"/>
    <xf numFmtId="167" fontId="9" fillId="0" borderId="59" xfId="0" applyNumberFormat="1" applyFont="1" applyFill="1" applyBorder="1"/>
    <xf numFmtId="167" fontId="9" fillId="0" borderId="129" xfId="0" applyNumberFormat="1" applyFont="1" applyFill="1" applyBorder="1"/>
    <xf numFmtId="167" fontId="9" fillId="0" borderId="131" xfId="0" applyNumberFormat="1" applyFont="1" applyFill="1" applyBorder="1"/>
    <xf numFmtId="167" fontId="9" fillId="0" borderId="141" xfId="0" applyNumberFormat="1" applyFont="1" applyFill="1" applyBorder="1"/>
    <xf numFmtId="167" fontId="9" fillId="0" borderId="59" xfId="0" applyNumberFormat="1" applyFont="1" applyBorder="1"/>
    <xf numFmtId="167" fontId="9" fillId="0" borderId="142" xfId="0" applyNumberFormat="1" applyFont="1" applyFill="1" applyBorder="1"/>
    <xf numFmtId="44" fontId="9" fillId="0" borderId="73" xfId="0" applyNumberFormat="1" applyFont="1" applyFill="1" applyBorder="1"/>
    <xf numFmtId="1" fontId="9" fillId="0" borderId="3" xfId="0" applyNumberFormat="1" applyFont="1" applyFill="1" applyBorder="1"/>
    <xf numFmtId="1" fontId="9" fillId="0" borderId="8" xfId="0" applyNumberFormat="1" applyFont="1" applyFill="1" applyBorder="1"/>
    <xf numFmtId="1" fontId="9" fillId="0" borderId="3" xfId="0" applyNumberFormat="1" applyFont="1" applyBorder="1"/>
    <xf numFmtId="1" fontId="9" fillId="0" borderId="98" xfId="0" applyNumberFormat="1" applyFont="1" applyBorder="1"/>
    <xf numFmtId="2" fontId="9" fillId="0" borderId="3" xfId="0" applyNumberFormat="1" applyFont="1" applyFill="1" applyBorder="1"/>
    <xf numFmtId="2" fontId="9" fillId="0" borderId="11" xfId="0" applyNumberFormat="1" applyFont="1" applyFill="1" applyBorder="1"/>
    <xf numFmtId="2" fontId="9" fillId="0" borderId="98" xfId="0" applyNumberFormat="1" applyFont="1" applyFill="1" applyBorder="1"/>
    <xf numFmtId="2" fontId="9" fillId="0" borderId="3" xfId="0" applyNumberFormat="1" applyFont="1" applyBorder="1"/>
    <xf numFmtId="2" fontId="9" fillId="0" borderId="11" xfId="0" applyNumberFormat="1" applyFont="1" applyBorder="1"/>
    <xf numFmtId="2" fontId="9" fillId="0" borderId="8" xfId="0" applyNumberFormat="1" applyFont="1" applyBorder="1"/>
    <xf numFmtId="2" fontId="9" fillId="0" borderId="98" xfId="0" applyNumberFormat="1" applyFont="1" applyBorder="1"/>
    <xf numFmtId="164" fontId="9" fillId="0" borderId="35" xfId="0" applyNumberFormat="1" applyFont="1" applyBorder="1"/>
    <xf numFmtId="164" fontId="9" fillId="0" borderId="99" xfId="0" applyNumberFormat="1" applyFont="1" applyBorder="1"/>
    <xf numFmtId="3" fontId="9" fillId="0" borderId="35" xfId="0" applyNumberFormat="1" applyFont="1" applyBorder="1"/>
    <xf numFmtId="0" fontId="59" fillId="0" borderId="0" xfId="0" applyFont="1" applyFill="1"/>
    <xf numFmtId="43" fontId="18" fillId="0" borderId="0" xfId="0" applyNumberFormat="1" applyFont="1" applyBorder="1"/>
    <xf numFmtId="44" fontId="9" fillId="0" borderId="54" xfId="0" applyNumberFormat="1" applyFont="1" applyFill="1" applyBorder="1" applyAlignment="1">
      <alignment horizontal="center" vertical="center"/>
    </xf>
    <xf numFmtId="44" fontId="12" fillId="0" borderId="22" xfId="1" applyNumberFormat="1" applyFont="1" applyBorder="1" applyAlignment="1">
      <alignment horizontal="left"/>
    </xf>
    <xf numFmtId="44" fontId="12" fillId="0" borderId="30" xfId="1" applyNumberFormat="1" applyFont="1" applyBorder="1"/>
    <xf numFmtId="0" fontId="12" fillId="0" borderId="78" xfId="0" applyFont="1" applyBorder="1"/>
    <xf numFmtId="0" fontId="12" fillId="0" borderId="31" xfId="0" applyFont="1" applyBorder="1"/>
    <xf numFmtId="0" fontId="12" fillId="0" borderId="143" xfId="0" applyFont="1" applyBorder="1"/>
    <xf numFmtId="0" fontId="17" fillId="3" borderId="32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0" borderId="0" xfId="0" quotePrefix="1" applyFont="1"/>
    <xf numFmtId="0" fontId="14" fillId="2" borderId="73" xfId="0" applyFont="1" applyFill="1" applyBorder="1" applyAlignment="1">
      <alignment horizontal="left"/>
    </xf>
    <xf numFmtId="44" fontId="14" fillId="2" borderId="73" xfId="1" applyFont="1" applyFill="1" applyBorder="1"/>
    <xf numFmtId="0" fontId="12" fillId="0" borderId="40" xfId="0" applyFont="1" applyBorder="1" applyAlignment="1">
      <alignment horizontal="left"/>
    </xf>
    <xf numFmtId="44" fontId="9" fillId="0" borderId="46" xfId="0" applyNumberFormat="1" applyFont="1" applyFill="1" applyBorder="1" applyAlignment="1">
      <alignment horizontal="center" vertical="center"/>
    </xf>
    <xf numFmtId="44" fontId="9" fillId="0" borderId="19" xfId="0" applyNumberFormat="1" applyFont="1" applyFill="1" applyBorder="1"/>
    <xf numFmtId="44" fontId="12" fillId="7" borderId="16" xfId="0" applyNumberFormat="1" applyFont="1" applyFill="1" applyBorder="1" applyAlignment="1">
      <alignment horizontal="center"/>
    </xf>
    <xf numFmtId="0" fontId="15" fillId="0" borderId="3" xfId="0" applyFont="1" applyFill="1" applyBorder="1"/>
    <xf numFmtId="42" fontId="18" fillId="0" borderId="42" xfId="0" applyNumberFormat="1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44" fontId="18" fillId="0" borderId="4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3" fillId="0" borderId="41" xfId="0" applyFont="1" applyBorder="1" applyAlignment="1">
      <alignment horizontal="center" textRotation="90"/>
    </xf>
    <xf numFmtId="164" fontId="15" fillId="0" borderId="0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34" fillId="5" borderId="47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/>
    </xf>
    <xf numFmtId="0" fontId="34" fillId="5" borderId="49" xfId="0" applyFont="1" applyFill="1" applyBorder="1" applyAlignment="1">
      <alignment horizontal="center" vertical="center"/>
    </xf>
    <xf numFmtId="44" fontId="9" fillId="0" borderId="54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44" fontId="11" fillId="0" borderId="54" xfId="0" applyNumberFormat="1" applyFont="1" applyFill="1" applyBorder="1" applyAlignment="1">
      <alignment horizontal="center" vertical="center"/>
    </xf>
    <xf numFmtId="44" fontId="11" fillId="0" borderId="73" xfId="0" applyNumberFormat="1" applyFont="1" applyFill="1" applyBorder="1" applyAlignment="1">
      <alignment horizontal="center" vertical="center"/>
    </xf>
    <xf numFmtId="44" fontId="11" fillId="0" borderId="40" xfId="0" applyNumberFormat="1" applyFont="1" applyFill="1" applyBorder="1" applyAlignment="1">
      <alignment horizontal="center" vertical="center"/>
    </xf>
    <xf numFmtId="44" fontId="11" fillId="0" borderId="79" xfId="0" applyNumberFormat="1" applyFont="1" applyFill="1" applyBorder="1" applyAlignment="1">
      <alignment horizontal="center" vertical="center"/>
    </xf>
    <xf numFmtId="44" fontId="9" fillId="0" borderId="54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44" fontId="9" fillId="0" borderId="40" xfId="0" applyNumberFormat="1" applyFont="1" applyBorder="1" applyAlignment="1">
      <alignment horizontal="center" vertical="center"/>
    </xf>
    <xf numFmtId="44" fontId="9" fillId="0" borderId="79" xfId="0" applyNumberFormat="1" applyFont="1" applyBorder="1" applyAlignment="1">
      <alignment horizontal="center" vertical="center"/>
    </xf>
    <xf numFmtId="0" fontId="9" fillId="0" borderId="134" xfId="0" applyFont="1" applyFill="1" applyBorder="1" applyAlignment="1">
      <alignment horizontal="center" vertical="center" wrapText="1"/>
    </xf>
    <xf numFmtId="0" fontId="9" fillId="0" borderId="135" xfId="0" applyFont="1" applyFill="1" applyBorder="1" applyAlignment="1">
      <alignment horizontal="center" vertical="center" wrapText="1"/>
    </xf>
    <xf numFmtId="0" fontId="9" fillId="0" borderId="136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/>
    </xf>
    <xf numFmtId="0" fontId="0" fillId="0" borderId="44" xfId="0" applyBorder="1" applyAlignment="1"/>
    <xf numFmtId="164" fontId="9" fillId="0" borderId="89" xfId="0" applyNumberFormat="1" applyFont="1" applyBorder="1" applyAlignment="1">
      <alignment horizontal="center"/>
    </xf>
    <xf numFmtId="164" fontId="9" fillId="0" borderId="80" xfId="0" applyNumberFormat="1" applyFont="1" applyBorder="1" applyAlignment="1">
      <alignment horizontal="center"/>
    </xf>
    <xf numFmtId="164" fontId="9" fillId="0" borderId="90" xfId="0" applyNumberFormat="1" applyFont="1" applyBorder="1" applyAlignment="1">
      <alignment horizontal="center"/>
    </xf>
    <xf numFmtId="0" fontId="60" fillId="7" borderId="0" xfId="0" applyFont="1" applyFill="1" applyAlignment="1">
      <alignment horizontal="center" vertical="center" textRotation="90"/>
    </xf>
    <xf numFmtId="0" fontId="43" fillId="0" borderId="48" xfId="0" applyFont="1" applyBorder="1" applyAlignment="1">
      <alignment horizontal="center"/>
    </xf>
    <xf numFmtId="0" fontId="43" fillId="0" borderId="100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left"/>
    </xf>
    <xf numFmtId="0" fontId="4" fillId="0" borderId="26" xfId="0" applyFont="1" applyFill="1" applyBorder="1" applyAlignment="1"/>
    <xf numFmtId="0" fontId="34" fillId="0" borderId="26" xfId="0" applyFont="1" applyBorder="1" applyAlignment="1">
      <alignment horizontal="left"/>
    </xf>
    <xf numFmtId="0" fontId="0" fillId="0" borderId="26" xfId="0" applyBorder="1" applyAlignment="1"/>
    <xf numFmtId="44" fontId="49" fillId="0" borderId="7" xfId="1" applyNumberFormat="1" applyFont="1" applyFill="1" applyBorder="1"/>
    <xf numFmtId="44" fontId="9" fillId="0" borderId="19" xfId="0" applyNumberFormat="1" applyFont="1" applyFill="1" applyBorder="1" applyAlignment="1">
      <alignment horizontal="center"/>
    </xf>
    <xf numFmtId="44" fontId="9" fillId="0" borderId="16" xfId="1" applyNumberFormat="1" applyFont="1" applyFill="1" applyBorder="1" applyAlignment="1">
      <alignment horizontal="center"/>
    </xf>
    <xf numFmtId="44" fontId="9" fillId="0" borderId="46" xfId="1" applyNumberFormat="1" applyFont="1" applyFill="1" applyBorder="1" applyAlignment="1">
      <alignment horizontal="center"/>
    </xf>
    <xf numFmtId="44" fontId="12" fillId="0" borderId="16" xfId="1" applyNumberFormat="1" applyFont="1" applyFill="1" applyBorder="1" applyAlignment="1">
      <alignment horizontal="left"/>
    </xf>
    <xf numFmtId="44" fontId="12" fillId="0" borderId="19" xfId="1" applyNumberFormat="1" applyFont="1" applyFill="1" applyBorder="1" applyAlignment="1">
      <alignment horizontal="left"/>
    </xf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/>
  <cols>
    <col min="1" max="1" width="9.5703125" style="25" customWidth="1"/>
    <col min="2" max="2" width="29.28515625" customWidth="1"/>
    <col min="3" max="3" width="2.85546875" customWidth="1"/>
    <col min="4" max="4" width="18.140625" customWidth="1"/>
    <col min="5" max="5" width="3" customWidth="1"/>
    <col min="6" max="6" width="17.140625" style="439" customWidth="1"/>
    <col min="7" max="7" width="3" customWidth="1"/>
    <col min="8" max="8" width="9.5703125" bestFit="1" customWidth="1"/>
    <col min="9" max="9" width="13.5703125" bestFit="1" customWidth="1"/>
    <col min="10" max="10" width="36" bestFit="1" customWidth="1"/>
    <col min="11" max="11" width="12.28515625" bestFit="1" customWidth="1"/>
  </cols>
  <sheetData>
    <row r="1" spans="1:10" ht="33" customHeight="1">
      <c r="A1" s="205">
        <v>2015</v>
      </c>
      <c r="B1" s="447" t="s">
        <v>627</v>
      </c>
      <c r="C1" s="440"/>
      <c r="D1" s="441" t="s">
        <v>633</v>
      </c>
      <c r="E1" s="11"/>
      <c r="F1" s="441" t="s">
        <v>639</v>
      </c>
      <c r="H1" s="783" t="s">
        <v>674</v>
      </c>
      <c r="I1" s="849" t="s">
        <v>675</v>
      </c>
      <c r="J1" s="850" t="s">
        <v>685</v>
      </c>
    </row>
    <row r="2" spans="1:10" ht="12.75" customHeight="1">
      <c r="A2" s="80">
        <v>407</v>
      </c>
      <c r="B2" s="81" t="s">
        <v>266</v>
      </c>
      <c r="C2" s="207"/>
      <c r="D2" s="717">
        <v>15200</v>
      </c>
      <c r="E2" s="718"/>
      <c r="F2" s="858">
        <f>REVENUE!G4</f>
        <v>11100</v>
      </c>
      <c r="H2" s="830">
        <f>F2/D2-1</f>
        <v>-0.26973684210526316</v>
      </c>
      <c r="I2" s="439">
        <f>F2-D2</f>
        <v>-4100</v>
      </c>
      <c r="J2" s="290" t="s">
        <v>783</v>
      </c>
    </row>
    <row r="3" spans="1:10" ht="12.6" customHeight="1">
      <c r="A3" s="80">
        <v>410</v>
      </c>
      <c r="B3" s="81" t="s">
        <v>265</v>
      </c>
      <c r="C3" s="207"/>
      <c r="D3" s="717">
        <v>2073137</v>
      </c>
      <c r="E3" s="718"/>
      <c r="F3" s="748">
        <f>REVENUE!H5</f>
        <v>2140914</v>
      </c>
      <c r="H3" s="830">
        <f t="shared" ref="H3:H9" si="0">F3/D3-1</f>
        <v>3.2692967227925696E-2</v>
      </c>
      <c r="I3" s="439">
        <f t="shared" ref="I3:I52" si="1">F3-D3</f>
        <v>67777</v>
      </c>
      <c r="J3" s="290" t="s">
        <v>790</v>
      </c>
    </row>
    <row r="4" spans="1:10" ht="12.6" customHeight="1">
      <c r="A4" s="80">
        <v>415</v>
      </c>
      <c r="B4" s="81" t="s">
        <v>23</v>
      </c>
      <c r="C4" s="207"/>
      <c r="D4" s="717">
        <v>1685692</v>
      </c>
      <c r="E4" s="718"/>
      <c r="F4" s="748">
        <f>REVENUE!G8</f>
        <v>2187099</v>
      </c>
      <c r="H4" s="830">
        <f t="shared" si="0"/>
        <v>0.29744876288194999</v>
      </c>
      <c r="I4" s="439">
        <f t="shared" si="1"/>
        <v>501407</v>
      </c>
      <c r="J4" s="290" t="s">
        <v>776</v>
      </c>
    </row>
    <row r="5" spans="1:10" ht="12.6" customHeight="1">
      <c r="A5" s="80" t="s">
        <v>313</v>
      </c>
      <c r="B5" s="81" t="s">
        <v>314</v>
      </c>
      <c r="C5" s="207"/>
      <c r="D5" s="717">
        <v>10100</v>
      </c>
      <c r="E5" s="718"/>
      <c r="F5" s="748">
        <f>REVENUE!H9</f>
        <v>11800</v>
      </c>
      <c r="H5" s="830">
        <f t="shared" si="0"/>
        <v>0.16831683168316824</v>
      </c>
      <c r="I5" s="439">
        <f t="shared" si="1"/>
        <v>1700</v>
      </c>
      <c r="J5" s="290" t="s">
        <v>784</v>
      </c>
    </row>
    <row r="6" spans="1:10" ht="12.6" customHeight="1">
      <c r="A6" s="80" t="s">
        <v>79</v>
      </c>
      <c r="B6" s="81" t="s">
        <v>80</v>
      </c>
      <c r="C6" s="207"/>
      <c r="D6" s="717">
        <v>200800</v>
      </c>
      <c r="E6" s="718"/>
      <c r="F6" s="748">
        <f>REVENUE!H12</f>
        <v>176300</v>
      </c>
      <c r="H6" s="830">
        <f t="shared" si="0"/>
        <v>-0.12201195219123506</v>
      </c>
      <c r="I6" s="439">
        <f t="shared" si="1"/>
        <v>-24500</v>
      </c>
      <c r="J6" s="290" t="s">
        <v>785</v>
      </c>
    </row>
    <row r="7" spans="1:10" ht="12.6" customHeight="1">
      <c r="A7" s="80">
        <v>475</v>
      </c>
      <c r="B7" s="81" t="s">
        <v>81</v>
      </c>
      <c r="C7" s="207"/>
      <c r="D7" s="717">
        <v>15000</v>
      </c>
      <c r="E7" s="718"/>
      <c r="F7" s="748">
        <f>REVENUE!G15</f>
        <v>0</v>
      </c>
      <c r="H7" s="830">
        <f t="shared" si="0"/>
        <v>-1</v>
      </c>
      <c r="I7" s="439">
        <f t="shared" si="1"/>
        <v>-15000</v>
      </c>
      <c r="J7" s="290" t="s">
        <v>787</v>
      </c>
    </row>
    <row r="8" spans="1:10" ht="12.6" customHeight="1">
      <c r="A8" s="80" t="s">
        <v>82</v>
      </c>
      <c r="B8" s="81" t="s">
        <v>83</v>
      </c>
      <c r="C8" s="207"/>
      <c r="D8" s="717">
        <v>2500</v>
      </c>
      <c r="E8" s="718"/>
      <c r="F8" s="748">
        <f>REVENUE!H16</f>
        <v>2500</v>
      </c>
      <c r="H8" s="830">
        <f t="shared" si="0"/>
        <v>0</v>
      </c>
      <c r="I8" s="439">
        <f t="shared" si="1"/>
        <v>0</v>
      </c>
    </row>
    <row r="9" spans="1:10" ht="12.6" customHeight="1">
      <c r="A9" s="80" t="s">
        <v>423</v>
      </c>
      <c r="B9" s="81" t="s">
        <v>84</v>
      </c>
      <c r="C9" s="207"/>
      <c r="D9" s="717">
        <f>REVENUE!F18+REVENUE!F19+REVENUE!F20+REVENUE!F21+REVENUE!F22+REVENUE!F23</f>
        <v>382200</v>
      </c>
      <c r="E9" s="718"/>
      <c r="F9" s="748">
        <f>REVENUE!H18</f>
        <v>2400</v>
      </c>
      <c r="H9" s="830">
        <f t="shared" si="0"/>
        <v>-0.99372056514913654</v>
      </c>
      <c r="I9" s="439">
        <f t="shared" si="1"/>
        <v>-379800</v>
      </c>
      <c r="J9" s="290" t="s">
        <v>786</v>
      </c>
    </row>
    <row r="10" spans="1:10" ht="3" customHeight="1">
      <c r="A10" s="78"/>
      <c r="B10" s="79"/>
      <c r="C10" s="208"/>
      <c r="D10" s="306"/>
      <c r="E10" s="385"/>
      <c r="F10" s="749"/>
      <c r="H10" s="830"/>
      <c r="I10" s="439"/>
    </row>
    <row r="11" spans="1:10" s="446" customFormat="1" ht="20.25" customHeight="1">
      <c r="A11" s="443"/>
      <c r="B11" s="444" t="s">
        <v>141</v>
      </c>
      <c r="C11" s="445"/>
      <c r="D11" s="693">
        <f>SUM(D2:D10)+0.73</f>
        <v>4384629.7300000004</v>
      </c>
      <c r="E11" s="692"/>
      <c r="F11" s="750">
        <f>SUM(F2:F10)</f>
        <v>4532113</v>
      </c>
      <c r="H11" s="830">
        <f>F11/D11-1</f>
        <v>3.3636425213036114E-2</v>
      </c>
      <c r="I11" s="439">
        <f t="shared" si="1"/>
        <v>147483.26999999955</v>
      </c>
    </row>
    <row r="12" spans="1:10" ht="22.5" customHeight="1" thickBot="1">
      <c r="A12" s="438" t="s">
        <v>419</v>
      </c>
      <c r="B12" s="308" t="s">
        <v>269</v>
      </c>
      <c r="C12" s="209"/>
      <c r="D12" s="442"/>
      <c r="E12" s="385"/>
      <c r="F12" s="751"/>
      <c r="H12" s="830"/>
      <c r="I12" s="439"/>
    </row>
    <row r="13" spans="1:10" ht="12.6" customHeight="1">
      <c r="A13" s="83">
        <v>501</v>
      </c>
      <c r="B13" s="84" t="s">
        <v>115</v>
      </c>
      <c r="C13" s="482"/>
      <c r="D13" s="706">
        <v>18473.809999999998</v>
      </c>
      <c r="E13" s="11"/>
      <c r="F13" s="752">
        <f>'501 PROPERTY TAX FEES'!F12</f>
        <v>20842.439999999999</v>
      </c>
      <c r="H13" s="830">
        <f t="shared" ref="H13:H29" si="2">F13/D13-1</f>
        <v>0.12821556571167525</v>
      </c>
      <c r="I13" s="439">
        <f t="shared" si="1"/>
        <v>2368.630000000001</v>
      </c>
      <c r="J13" t="s">
        <v>791</v>
      </c>
    </row>
    <row r="14" spans="1:10" ht="12.6" customHeight="1">
      <c r="A14" s="85">
        <v>502</v>
      </c>
      <c r="B14" s="82" t="s">
        <v>201</v>
      </c>
      <c r="C14" s="483"/>
      <c r="D14" s="707">
        <v>33763.840000000004</v>
      </c>
      <c r="E14" s="11"/>
      <c r="F14" s="753">
        <f>'502 SALES TAX COLLECTION COSTS'!F12</f>
        <v>43766.98</v>
      </c>
      <c r="H14" s="830">
        <f t="shared" si="2"/>
        <v>0.29626784157252262</v>
      </c>
      <c r="I14" s="439">
        <f t="shared" si="1"/>
        <v>10003.14</v>
      </c>
      <c r="J14" s="290" t="s">
        <v>778</v>
      </c>
    </row>
    <row r="15" spans="1:10" ht="12.6" customHeight="1">
      <c r="A15" s="86">
        <v>503</v>
      </c>
      <c r="B15" s="87" t="s">
        <v>149</v>
      </c>
      <c r="C15" s="483"/>
      <c r="D15" s="708">
        <v>24415.65</v>
      </c>
      <c r="E15" s="11"/>
      <c r="F15" s="756">
        <f>'503 SUNSET VALLEY'!F11</f>
        <v>23800</v>
      </c>
      <c r="H15" s="830">
        <f t="shared" si="2"/>
        <v>-2.5215384394845164E-2</v>
      </c>
      <c r="I15" s="439">
        <f t="shared" si="1"/>
        <v>-615.65000000000146</v>
      </c>
    </row>
    <row r="16" spans="1:10" ht="12.6" customHeight="1">
      <c r="A16" s="88">
        <v>601</v>
      </c>
      <c r="B16" s="89" t="s">
        <v>260</v>
      </c>
      <c r="C16" s="483"/>
      <c r="D16" s="709">
        <v>423420</v>
      </c>
      <c r="E16" s="11"/>
      <c r="F16" s="757">
        <f>'601 APPARATUS PMTS.'!F16:G16</f>
        <v>130899</v>
      </c>
      <c r="H16" s="830">
        <f t="shared" si="2"/>
        <v>-0.69085305370554062</v>
      </c>
      <c r="I16" s="439">
        <f t="shared" si="1"/>
        <v>-292521</v>
      </c>
      <c r="J16" t="s">
        <v>686</v>
      </c>
    </row>
    <row r="17" spans="1:10" ht="12.6" customHeight="1">
      <c r="A17" s="85">
        <v>602</v>
      </c>
      <c r="B17" s="90" t="s">
        <v>143</v>
      </c>
      <c r="C17" s="482"/>
      <c r="D17" s="710">
        <v>3200</v>
      </c>
      <c r="E17" s="11"/>
      <c r="F17" s="754">
        <f>'602 ALPHA PAGERS'!F11</f>
        <v>1200</v>
      </c>
      <c r="H17" s="830">
        <f t="shared" si="2"/>
        <v>-0.625</v>
      </c>
      <c r="I17" s="439">
        <f t="shared" si="1"/>
        <v>-2000</v>
      </c>
      <c r="J17" s="290" t="s">
        <v>766</v>
      </c>
    </row>
    <row r="18" spans="1:10" ht="12.6" customHeight="1">
      <c r="A18" s="85">
        <v>603</v>
      </c>
      <c r="B18" s="90" t="s">
        <v>243</v>
      </c>
      <c r="C18" s="482"/>
      <c r="D18" s="711">
        <v>85972.800000000003</v>
      </c>
      <c r="E18" s="11"/>
      <c r="F18" s="755">
        <f>'603 DISPATCH &amp; COMM'!F17</f>
        <v>81080.479999999996</v>
      </c>
      <c r="H18" s="830">
        <f t="shared" si="2"/>
        <v>-5.6905439860048812E-2</v>
      </c>
      <c r="I18" s="439">
        <f t="shared" si="1"/>
        <v>-4892.320000000007</v>
      </c>
    </row>
    <row r="19" spans="1:10" ht="12.6" customHeight="1">
      <c r="A19" s="80">
        <v>604</v>
      </c>
      <c r="B19" s="82" t="s">
        <v>142</v>
      </c>
      <c r="C19" s="483"/>
      <c r="D19" s="711">
        <v>40000</v>
      </c>
      <c r="E19" s="11"/>
      <c r="F19" s="755">
        <f>'604 FUEL'!F9</f>
        <v>30000</v>
      </c>
      <c r="H19" s="830">
        <f t="shared" si="2"/>
        <v>-0.25</v>
      </c>
      <c r="I19" s="439">
        <f t="shared" si="1"/>
        <v>-10000</v>
      </c>
      <c r="J19" s="290" t="s">
        <v>767</v>
      </c>
    </row>
    <row r="20" spans="1:10" ht="12.6" customHeight="1">
      <c r="A20" s="85">
        <v>605</v>
      </c>
      <c r="B20" s="91" t="s">
        <v>215</v>
      </c>
      <c r="C20" s="484"/>
      <c r="D20" s="711">
        <v>38400</v>
      </c>
      <c r="E20" s="11"/>
      <c r="F20" s="755">
        <f>'605 SCBA'!F23</f>
        <v>94229.8</v>
      </c>
      <c r="H20" s="830">
        <f t="shared" si="2"/>
        <v>1.4539010416666667</v>
      </c>
      <c r="I20" s="439">
        <f t="shared" si="1"/>
        <v>55829.8</v>
      </c>
      <c r="J20" t="s">
        <v>690</v>
      </c>
    </row>
    <row r="21" spans="1:10" ht="12.6" customHeight="1">
      <c r="A21" s="85">
        <v>606</v>
      </c>
      <c r="B21" s="91" t="s">
        <v>134</v>
      </c>
      <c r="C21" s="484"/>
      <c r="D21" s="711">
        <v>84050</v>
      </c>
      <c r="E21" s="11"/>
      <c r="F21" s="755">
        <f>'606 VEH MTN REP'!F23</f>
        <v>96580</v>
      </c>
      <c r="H21" s="830">
        <f t="shared" si="2"/>
        <v>0.14907792980368839</v>
      </c>
      <c r="I21" s="439">
        <f t="shared" si="1"/>
        <v>12530</v>
      </c>
      <c r="J21" s="290" t="s">
        <v>768</v>
      </c>
    </row>
    <row r="22" spans="1:10" ht="12.6" customHeight="1">
      <c r="A22" s="85">
        <v>608</v>
      </c>
      <c r="B22" s="90" t="s">
        <v>244</v>
      </c>
      <c r="C22" s="482"/>
      <c r="D22" s="711">
        <v>29900</v>
      </c>
      <c r="E22" s="11"/>
      <c r="F22" s="755">
        <f>'608 VEHICLE SUPPLIES'!F28</f>
        <v>53326</v>
      </c>
      <c r="H22" s="830">
        <f t="shared" si="2"/>
        <v>0.78347826086956518</v>
      </c>
      <c r="I22" s="439">
        <f t="shared" si="1"/>
        <v>23426</v>
      </c>
      <c r="J22" s="290" t="s">
        <v>769</v>
      </c>
    </row>
    <row r="23" spans="1:10" ht="12.6" customHeight="1">
      <c r="A23" s="85">
        <v>609</v>
      </c>
      <c r="B23" s="90" t="s">
        <v>196</v>
      </c>
      <c r="C23" s="482"/>
      <c r="D23" s="711">
        <v>54186.75</v>
      </c>
      <c r="F23" s="755">
        <f>'609 UNIFORMS &amp; PROTECTIVE GEAR'!F12</f>
        <v>57193.03</v>
      </c>
      <c r="H23" s="830">
        <f t="shared" si="2"/>
        <v>5.5479983575320579E-2</v>
      </c>
      <c r="I23" s="439">
        <f t="shared" si="1"/>
        <v>3006.2799999999988</v>
      </c>
    </row>
    <row r="24" spans="1:10" ht="12.6" customHeight="1">
      <c r="A24" s="85" t="s">
        <v>130</v>
      </c>
      <c r="B24" s="90" t="s">
        <v>131</v>
      </c>
      <c r="C24" s="482"/>
      <c r="D24" s="711">
        <v>16525</v>
      </c>
      <c r="F24" s="755">
        <f>'611 EMS SUPPLIES'!F18+'612 REHAB SUPPLIES'!F10</f>
        <v>7125</v>
      </c>
      <c r="H24" s="830">
        <f t="shared" si="2"/>
        <v>-0.56883509833585477</v>
      </c>
      <c r="I24" s="439">
        <f t="shared" si="1"/>
        <v>-9400</v>
      </c>
      <c r="J24" s="290" t="s">
        <v>746</v>
      </c>
    </row>
    <row r="25" spans="1:10" ht="12.6" customHeight="1">
      <c r="A25" s="86">
        <v>613</v>
      </c>
      <c r="B25" s="92" t="s">
        <v>270</v>
      </c>
      <c r="C25" s="482"/>
      <c r="D25" s="712">
        <v>18963</v>
      </c>
      <c r="F25" s="756">
        <f>'613 AUTO INSURANCE'!F8</f>
        <v>19600</v>
      </c>
      <c r="H25" s="830">
        <f t="shared" si="2"/>
        <v>3.3591731266149782E-2</v>
      </c>
      <c r="I25" s="439">
        <f t="shared" si="1"/>
        <v>637</v>
      </c>
    </row>
    <row r="26" spans="1:10" ht="12.6" customHeight="1">
      <c r="A26" s="93">
        <v>632</v>
      </c>
      <c r="B26" s="89" t="s">
        <v>217</v>
      </c>
      <c r="D26" s="709">
        <v>40615</v>
      </c>
      <c r="F26" s="757">
        <f>'632 FIRE &amp; RESCUE TRAINING'!F31</f>
        <v>58650</v>
      </c>
      <c r="H26" s="830">
        <f t="shared" si="2"/>
        <v>0.44404776560384085</v>
      </c>
      <c r="I26" s="439">
        <f t="shared" si="1"/>
        <v>18035</v>
      </c>
      <c r="J26" s="917" t="s">
        <v>747</v>
      </c>
    </row>
    <row r="27" spans="1:10" ht="12.6" customHeight="1">
      <c r="A27" s="85">
        <v>633</v>
      </c>
      <c r="B27" s="90" t="s">
        <v>199</v>
      </c>
      <c r="D27" s="711">
        <v>14300</v>
      </c>
      <c r="F27" s="755">
        <f>'633 SEMINARS &amp; CONFERENCES'!F22</f>
        <v>25300</v>
      </c>
      <c r="H27" s="830">
        <f t="shared" si="2"/>
        <v>0.76923076923076916</v>
      </c>
      <c r="I27" s="439">
        <f t="shared" si="1"/>
        <v>11000</v>
      </c>
      <c r="J27" s="290" t="s">
        <v>770</v>
      </c>
    </row>
    <row r="28" spans="1:10" ht="12.6" customHeight="1">
      <c r="A28" s="86" t="s">
        <v>132</v>
      </c>
      <c r="B28" s="92" t="s">
        <v>133</v>
      </c>
      <c r="D28" s="712">
        <v>66150</v>
      </c>
      <c r="F28" s="756">
        <f>'634 FIRE ACADEMY'!F33+'635 EMT CERT COURSE'!F19</f>
        <v>71700</v>
      </c>
      <c r="H28" s="830">
        <f t="shared" si="2"/>
        <v>8.3900226757369634E-2</v>
      </c>
      <c r="I28" s="439">
        <f t="shared" si="1"/>
        <v>5550</v>
      </c>
    </row>
    <row r="29" spans="1:10" ht="12.6" customHeight="1">
      <c r="A29" s="95">
        <v>636</v>
      </c>
      <c r="B29" s="96" t="s">
        <v>427</v>
      </c>
      <c r="D29" s="713">
        <v>2600</v>
      </c>
      <c r="F29" s="756">
        <f>'636 VENDING MACHINES'!E12</f>
        <v>2600</v>
      </c>
      <c r="H29" s="830">
        <f t="shared" si="2"/>
        <v>0</v>
      </c>
      <c r="I29" s="439">
        <f t="shared" si="1"/>
        <v>0</v>
      </c>
    </row>
    <row r="30" spans="1:10" ht="12.6" customHeight="1">
      <c r="A30" s="83">
        <v>641</v>
      </c>
      <c r="B30" s="84" t="s">
        <v>198</v>
      </c>
      <c r="D30" s="714">
        <v>705924.03178427671</v>
      </c>
      <c r="F30" s="757">
        <f>'641 BENEFITS'!E27</f>
        <v>781889.36040236312</v>
      </c>
      <c r="H30" s="830">
        <f>F30/D30-1</f>
        <v>0.1076111949696319</v>
      </c>
      <c r="I30" s="439">
        <f t="shared" si="1"/>
        <v>75965.328618086409</v>
      </c>
      <c r="J30" s="290" t="s">
        <v>771</v>
      </c>
    </row>
    <row r="31" spans="1:10" ht="12.6" customHeight="1">
      <c r="A31" s="85">
        <v>642</v>
      </c>
      <c r="B31" s="90" t="s">
        <v>677</v>
      </c>
      <c r="D31" s="714">
        <v>2043576.8434000001</v>
      </c>
      <c r="F31" s="968">
        <f>'642 PAYROLL'!K51</f>
        <v>2162997.1140000001</v>
      </c>
      <c r="H31" s="830">
        <f>F31/D31-1</f>
        <v>5.8436887746934119E-2</v>
      </c>
      <c r="I31" s="439">
        <f t="shared" si="1"/>
        <v>119420.27059999993</v>
      </c>
      <c r="J31" s="290" t="s">
        <v>789</v>
      </c>
    </row>
    <row r="32" spans="1:10" ht="12.6" customHeight="1">
      <c r="A32" s="85">
        <v>643</v>
      </c>
      <c r="B32" s="90" t="s">
        <v>50</v>
      </c>
      <c r="D32" s="711">
        <v>5300</v>
      </c>
      <c r="F32" s="755">
        <f>'643 RECOGNITION'!F14</f>
        <v>4200</v>
      </c>
      <c r="H32" s="830">
        <f t="shared" ref="H32:H52" si="3">F32/D32-1</f>
        <v>-0.20754716981132071</v>
      </c>
      <c r="I32" s="439">
        <f t="shared" si="1"/>
        <v>-1100</v>
      </c>
      <c r="J32" s="290" t="s">
        <v>772</v>
      </c>
    </row>
    <row r="33" spans="1:11" ht="12.6" customHeight="1">
      <c r="A33" s="85">
        <v>644</v>
      </c>
      <c r="B33" s="90" t="s">
        <v>85</v>
      </c>
      <c r="D33" s="712">
        <v>13140</v>
      </c>
      <c r="F33" s="756">
        <f>'644 CERTIFICATIONS'!F24</f>
        <v>13580</v>
      </c>
      <c r="H33" s="830">
        <f t="shared" si="3"/>
        <v>3.3485540334855513E-2</v>
      </c>
      <c r="I33" s="439">
        <f t="shared" si="1"/>
        <v>440</v>
      </c>
    </row>
    <row r="34" spans="1:11" ht="11.25" customHeight="1">
      <c r="A34" s="95">
        <v>645</v>
      </c>
      <c r="B34" s="96" t="s">
        <v>116</v>
      </c>
      <c r="D34" s="712">
        <v>300</v>
      </c>
      <c r="F34" s="756">
        <f>'645 RECRUITMENT'!F18</f>
        <v>300</v>
      </c>
      <c r="H34" s="830">
        <f t="shared" si="3"/>
        <v>0</v>
      </c>
      <c r="I34" s="439">
        <f t="shared" si="1"/>
        <v>0</v>
      </c>
    </row>
    <row r="35" spans="1:11" ht="12.6" customHeight="1">
      <c r="A35" s="93">
        <v>651</v>
      </c>
      <c r="B35" s="94" t="s">
        <v>197</v>
      </c>
      <c r="C35" s="482"/>
      <c r="D35" s="715">
        <v>55752</v>
      </c>
      <c r="F35" s="757">
        <f>'651 BLDG GROUND MAINT'!F26</f>
        <v>66811</v>
      </c>
      <c r="H35" s="830">
        <f t="shared" si="3"/>
        <v>0.19836059692925812</v>
      </c>
      <c r="I35" s="439">
        <f t="shared" si="1"/>
        <v>11059</v>
      </c>
      <c r="J35" s="290" t="s">
        <v>773</v>
      </c>
    </row>
    <row r="36" spans="1:11" ht="12.6" customHeight="1">
      <c r="A36" s="85">
        <v>652</v>
      </c>
      <c r="B36" s="90" t="s">
        <v>192</v>
      </c>
      <c r="C36" s="482"/>
      <c r="D36" s="711">
        <v>9800</v>
      </c>
      <c r="F36" s="755">
        <f>'652 OFFICE SUPPLIES'!F20</f>
        <v>10445.6</v>
      </c>
      <c r="H36" s="830">
        <f t="shared" si="3"/>
        <v>6.5877551020408154E-2</v>
      </c>
      <c r="I36" s="439">
        <f t="shared" si="1"/>
        <v>645.60000000000036</v>
      </c>
    </row>
    <row r="37" spans="1:11" ht="12.6" customHeight="1">
      <c r="A37" s="85">
        <v>653</v>
      </c>
      <c r="B37" s="90" t="s">
        <v>202</v>
      </c>
      <c r="C37" s="482"/>
      <c r="D37" s="711">
        <v>10550</v>
      </c>
      <c r="E37" s="11"/>
      <c r="F37" s="755">
        <f>'653 STATION SUPPLIES'!F16</f>
        <v>10350</v>
      </c>
      <c r="H37" s="830">
        <f t="shared" si="3"/>
        <v>-1.8957345971563955E-2</v>
      </c>
      <c r="I37" s="439">
        <f t="shared" si="1"/>
        <v>-200</v>
      </c>
    </row>
    <row r="38" spans="1:11" ht="12.6" customHeight="1">
      <c r="A38" s="85">
        <v>654</v>
      </c>
      <c r="B38" s="90" t="s">
        <v>147</v>
      </c>
      <c r="C38" s="482"/>
      <c r="D38" s="716">
        <v>1865</v>
      </c>
      <c r="E38" s="11"/>
      <c r="F38" s="755">
        <f>'654 BANK FEES'!F13</f>
        <v>3095</v>
      </c>
      <c r="H38" s="830">
        <f t="shared" si="3"/>
        <v>0.65951742627345844</v>
      </c>
      <c r="I38" s="439">
        <f t="shared" si="1"/>
        <v>1230</v>
      </c>
      <c r="J38" s="290" t="s">
        <v>782</v>
      </c>
    </row>
    <row r="39" spans="1:11" ht="12.6" customHeight="1">
      <c r="A39" s="85">
        <v>655</v>
      </c>
      <c r="B39" s="90" t="s">
        <v>200</v>
      </c>
      <c r="C39" s="482"/>
      <c r="D39" s="711">
        <v>4101</v>
      </c>
      <c r="E39" s="11"/>
      <c r="F39" s="755">
        <f>'655 DUES AND SUBSCRIPTIONS'!F24</f>
        <v>4004</v>
      </c>
      <c r="H39" s="830">
        <f t="shared" si="3"/>
        <v>-2.3652767617654225E-2</v>
      </c>
      <c r="I39" s="439">
        <f t="shared" si="1"/>
        <v>-97</v>
      </c>
    </row>
    <row r="40" spans="1:11" ht="12.6" customHeight="1">
      <c r="A40" s="85">
        <v>656</v>
      </c>
      <c r="B40" s="90" t="s">
        <v>148</v>
      </c>
      <c r="C40" s="482"/>
      <c r="D40" s="711">
        <v>20400</v>
      </c>
      <c r="E40" s="11"/>
      <c r="F40" s="755">
        <f>'656 INFORMATION TECHNOLOGY'!F23</f>
        <v>25095</v>
      </c>
      <c r="H40" s="830">
        <f t="shared" si="3"/>
        <v>0.23014705882352948</v>
      </c>
      <c r="I40" s="439">
        <f t="shared" si="1"/>
        <v>4695</v>
      </c>
      <c r="J40" s="290" t="s">
        <v>774</v>
      </c>
    </row>
    <row r="41" spans="1:11" ht="12.6" customHeight="1">
      <c r="A41" s="85">
        <v>657</v>
      </c>
      <c r="B41" s="90" t="s">
        <v>146</v>
      </c>
      <c r="C41" s="482"/>
      <c r="D41" s="711">
        <v>2660</v>
      </c>
      <c r="E41" s="11"/>
      <c r="F41" s="755">
        <f>'657 POSTAGE'!F13</f>
        <v>860</v>
      </c>
      <c r="H41" s="830">
        <f t="shared" si="3"/>
        <v>-0.67669172932330834</v>
      </c>
      <c r="I41" s="439">
        <f t="shared" si="1"/>
        <v>-1800</v>
      </c>
      <c r="J41" s="290" t="s">
        <v>780</v>
      </c>
    </row>
    <row r="42" spans="1:11" ht="12.6" customHeight="1">
      <c r="A42" s="85">
        <v>658</v>
      </c>
      <c r="B42" s="90" t="s">
        <v>261</v>
      </c>
      <c r="C42" s="482"/>
      <c r="D42" s="711">
        <v>25370</v>
      </c>
      <c r="E42" s="11"/>
      <c r="F42" s="755">
        <f>'658 PROP &amp; LIABILITY'!F16</f>
        <v>29764</v>
      </c>
      <c r="H42" s="830">
        <f t="shared" si="3"/>
        <v>0.1731966890027592</v>
      </c>
      <c r="I42" s="439">
        <f t="shared" si="1"/>
        <v>4394</v>
      </c>
      <c r="J42" s="290" t="s">
        <v>781</v>
      </c>
    </row>
    <row r="43" spans="1:11" ht="12.6" customHeight="1">
      <c r="A43" s="85">
        <v>659</v>
      </c>
      <c r="B43" s="90" t="s">
        <v>232</v>
      </c>
      <c r="C43" s="482"/>
      <c r="D43" s="716">
        <v>39000</v>
      </c>
      <c r="E43" s="11"/>
      <c r="F43" s="755">
        <f>'659 PROFESSIONAL SVCS'!F14</f>
        <v>36500</v>
      </c>
      <c r="H43" s="830">
        <f t="shared" si="3"/>
        <v>-6.4102564102564097E-2</v>
      </c>
      <c r="I43" s="439">
        <f t="shared" si="1"/>
        <v>-2500</v>
      </c>
    </row>
    <row r="44" spans="1:11" ht="12.6" customHeight="1">
      <c r="A44" s="85">
        <v>660</v>
      </c>
      <c r="B44" s="90" t="s">
        <v>233</v>
      </c>
      <c r="C44" s="482"/>
      <c r="D44" s="716">
        <v>8125</v>
      </c>
      <c r="E44" s="11"/>
      <c r="F44" s="755">
        <f>'660 PUBLIC NOTICES'!F13</f>
        <v>8130</v>
      </c>
      <c r="H44" s="830">
        <f t="shared" si="3"/>
        <v>6.1538461538468425E-4</v>
      </c>
      <c r="I44" s="439">
        <f t="shared" si="1"/>
        <v>5</v>
      </c>
      <c r="K44" s="16"/>
    </row>
    <row r="45" spans="1:11" ht="12.6" customHeight="1">
      <c r="A45" s="85">
        <v>661</v>
      </c>
      <c r="B45" s="90" t="s">
        <v>144</v>
      </c>
      <c r="C45" s="482"/>
      <c r="D45" s="711">
        <v>10280</v>
      </c>
      <c r="E45" s="11"/>
      <c r="F45" s="755">
        <f>'661 TELEPHONE'!F12</f>
        <v>10460</v>
      </c>
      <c r="H45" s="830">
        <f t="shared" si="3"/>
        <v>1.7509727626459082E-2</v>
      </c>
      <c r="I45" s="439">
        <f t="shared" si="1"/>
        <v>180</v>
      </c>
    </row>
    <row r="46" spans="1:11" ht="12.6" customHeight="1">
      <c r="A46" s="85">
        <v>662</v>
      </c>
      <c r="B46" s="90" t="s">
        <v>145</v>
      </c>
      <c r="C46" s="482"/>
      <c r="D46" s="711">
        <v>71600</v>
      </c>
      <c r="E46" s="11"/>
      <c r="F46" s="755">
        <f>'662 UTILITIES'!F17</f>
        <v>74724</v>
      </c>
      <c r="H46" s="830">
        <f t="shared" si="3"/>
        <v>4.3631284916201052E-2</v>
      </c>
      <c r="I46" s="439">
        <f t="shared" si="1"/>
        <v>3124</v>
      </c>
    </row>
    <row r="47" spans="1:11" ht="12.6" customHeight="1">
      <c r="A47" s="85">
        <v>663</v>
      </c>
      <c r="B47" s="90" t="s">
        <v>155</v>
      </c>
      <c r="C47" s="482"/>
      <c r="D47" s="711">
        <v>347550</v>
      </c>
      <c r="E47" s="11"/>
      <c r="F47" s="755">
        <f>'663 BOND DEBT SVC'!F14</f>
        <v>345850</v>
      </c>
      <c r="H47" s="830">
        <f t="shared" si="3"/>
        <v>-4.8913825348870787E-3</v>
      </c>
      <c r="I47" s="439">
        <f t="shared" si="1"/>
        <v>-1700</v>
      </c>
    </row>
    <row r="48" spans="1:11" ht="12.6" customHeight="1">
      <c r="A48" s="85">
        <v>664</v>
      </c>
      <c r="B48" s="90" t="s">
        <v>234</v>
      </c>
      <c r="C48" s="482"/>
      <c r="D48" s="712">
        <v>3500</v>
      </c>
      <c r="E48" s="11"/>
      <c r="F48" s="756">
        <f>'664 TCESD COMPENSATION'!F11</f>
        <v>3500</v>
      </c>
      <c r="H48" s="830">
        <f t="shared" si="3"/>
        <v>0</v>
      </c>
      <c r="I48" s="439">
        <f t="shared" si="1"/>
        <v>0</v>
      </c>
    </row>
    <row r="49" spans="1:10">
      <c r="A49" s="85">
        <v>665</v>
      </c>
      <c r="B49" s="90" t="s">
        <v>27</v>
      </c>
      <c r="C49" s="482"/>
      <c r="D49" s="711">
        <v>7000</v>
      </c>
      <c r="E49" s="11"/>
      <c r="F49" s="755">
        <f>'665 GRANT MATCHING'!F13</f>
        <v>7000</v>
      </c>
      <c r="H49" s="830">
        <f t="shared" si="3"/>
        <v>0</v>
      </c>
      <c r="I49" s="439">
        <f t="shared" si="1"/>
        <v>0</v>
      </c>
    </row>
    <row r="50" spans="1:10" ht="12.6" customHeight="1">
      <c r="A50" s="85">
        <v>671</v>
      </c>
      <c r="B50" s="90" t="s">
        <v>117</v>
      </c>
      <c r="C50" s="482"/>
      <c r="D50" s="711">
        <v>1000</v>
      </c>
      <c r="E50" s="11"/>
      <c r="F50" s="755">
        <f>'671 PREVENTION'!F15</f>
        <v>600</v>
      </c>
      <c r="H50" s="830">
        <f t="shared" si="3"/>
        <v>-0.4</v>
      </c>
      <c r="I50" s="439">
        <f t="shared" si="1"/>
        <v>-400</v>
      </c>
      <c r="J50" s="290" t="s">
        <v>748</v>
      </c>
    </row>
    <row r="51" spans="1:10" ht="12.6" customHeight="1">
      <c r="A51" s="85">
        <v>672</v>
      </c>
      <c r="B51" s="90" t="s">
        <v>246</v>
      </c>
      <c r="C51" s="482"/>
      <c r="D51" s="711">
        <v>2900</v>
      </c>
      <c r="E51" s="11"/>
      <c r="F51" s="755">
        <f>'672 PUBLIC EDUCATION'!F14</f>
        <v>5600</v>
      </c>
      <c r="H51" s="830">
        <f t="shared" si="3"/>
        <v>0.93103448275862077</v>
      </c>
      <c r="I51" s="439">
        <f t="shared" si="1"/>
        <v>2700</v>
      </c>
      <c r="J51" s="290" t="s">
        <v>775</v>
      </c>
    </row>
    <row r="52" spans="1:10" ht="17.25" customHeight="1" thickBot="1">
      <c r="A52" s="203"/>
      <c r="B52" s="204" t="s">
        <v>150</v>
      </c>
      <c r="C52" s="210"/>
      <c r="D52" s="855">
        <v>4384629.7251842767</v>
      </c>
      <c r="E52" s="856"/>
      <c r="F52" s="857">
        <f>SUM(F13:F51)</f>
        <v>4423647.8044023626</v>
      </c>
      <c r="H52" s="830">
        <f t="shared" si="3"/>
        <v>8.8988310675301996E-3</v>
      </c>
      <c r="I52" s="439">
        <f t="shared" si="1"/>
        <v>39018.079218085855</v>
      </c>
    </row>
    <row r="53" spans="1:10" ht="13.5" hidden="1" thickTop="1">
      <c r="B53" s="21" t="s">
        <v>271</v>
      </c>
      <c r="C53" s="206"/>
      <c r="D53" s="307"/>
      <c r="E53" s="11"/>
      <c r="F53" s="16"/>
      <c r="H53" s="830"/>
      <c r="I53" s="439"/>
    </row>
    <row r="54" spans="1:10" ht="8.25" customHeight="1" thickTop="1">
      <c r="C54" s="11"/>
      <c r="D54" s="307"/>
      <c r="E54" s="11"/>
      <c r="F54" s="16"/>
      <c r="H54" s="830"/>
      <c r="I54" s="439"/>
    </row>
    <row r="55" spans="1:10" ht="15">
      <c r="B55" t="s">
        <v>32</v>
      </c>
      <c r="C55" s="690"/>
      <c r="D55" s="436">
        <f>D11-D52</f>
        <v>4.8157237470149994E-3</v>
      </c>
      <c r="E55" s="11"/>
      <c r="F55" s="436">
        <f>F11-F52</f>
        <v>108465.19559763744</v>
      </c>
      <c r="H55" s="830"/>
      <c r="I55" s="439"/>
    </row>
    <row r="56" spans="1:10">
      <c r="E56" s="11"/>
    </row>
    <row r="57" spans="1:10">
      <c r="E57" s="11"/>
    </row>
    <row r="59" spans="1:10">
      <c r="F59" s="439">
        <f>F52-F47-F31-F30-F28-F16</f>
        <v>930312.32999999938</v>
      </c>
      <c r="H59" s="290" t="s">
        <v>777</v>
      </c>
    </row>
  </sheetData>
  <phoneticPr fontId="19" type="noConversion"/>
  <printOptions horizontalCentered="1"/>
  <pageMargins left="0.5" right="0.25" top="0.5" bottom="0.25" header="0" footer="0"/>
  <pageSetup scale="74" orientation="landscape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0.5703125" style="107" customWidth="1"/>
    <col min="2" max="2" width="11.7109375" style="27" hidden="1" customWidth="1"/>
    <col min="3" max="4" width="11.7109375" style="27" customWidth="1"/>
    <col min="5" max="6" width="11.42578125" style="27" customWidth="1"/>
    <col min="7" max="16384" width="9.140625" style="27"/>
  </cols>
  <sheetData>
    <row r="1" spans="1:6" s="48" customFormat="1" ht="18.75" customHeight="1">
      <c r="A1" s="912" t="s">
        <v>235</v>
      </c>
      <c r="B1" s="221"/>
      <c r="C1" s="221"/>
      <c r="D1" s="221"/>
      <c r="E1" s="237"/>
      <c r="F1" s="237"/>
    </row>
    <row r="2" spans="1:6" ht="18.75" customHeight="1">
      <c r="A2" s="137"/>
      <c r="B2" s="108"/>
      <c r="C2" s="108"/>
      <c r="D2" s="108"/>
      <c r="E2" s="51"/>
      <c r="F2" s="51"/>
    </row>
    <row r="3" spans="1:6" s="48" customFormat="1" ht="18.75" customHeight="1">
      <c r="A3" s="37" t="s">
        <v>152</v>
      </c>
      <c r="B3" s="43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134" customFormat="1" ht="18.75" customHeight="1">
      <c r="A4" s="142"/>
      <c r="B4" s="111"/>
      <c r="C4" s="124"/>
      <c r="D4" s="124"/>
      <c r="E4" s="124"/>
      <c r="F4" s="124"/>
    </row>
    <row r="5" spans="1:6" s="48" customFormat="1" ht="17.100000000000001" customHeight="1">
      <c r="A5" s="39" t="s">
        <v>177</v>
      </c>
      <c r="B5" s="44">
        <v>500</v>
      </c>
      <c r="C5" s="56">
        <v>500</v>
      </c>
      <c r="D5" s="56">
        <v>500</v>
      </c>
      <c r="E5" s="56">
        <v>500</v>
      </c>
      <c r="F5" s="56">
        <v>500</v>
      </c>
    </row>
    <row r="6" spans="1:6" s="48" customFormat="1" ht="17.100000000000001" customHeight="1">
      <c r="A6" s="39" t="s">
        <v>177</v>
      </c>
      <c r="B6" s="44">
        <v>500</v>
      </c>
      <c r="C6" s="56">
        <v>500</v>
      </c>
      <c r="D6" s="56">
        <v>500</v>
      </c>
      <c r="E6" s="56">
        <v>500</v>
      </c>
      <c r="F6" s="56">
        <v>500</v>
      </c>
    </row>
    <row r="7" spans="1:6" ht="17.100000000000001" customHeight="1">
      <c r="A7" s="39" t="s">
        <v>177</v>
      </c>
      <c r="B7" s="44">
        <v>500</v>
      </c>
      <c r="C7" s="56">
        <v>500</v>
      </c>
      <c r="D7" s="56">
        <v>500</v>
      </c>
      <c r="E7" s="56">
        <v>500</v>
      </c>
      <c r="F7" s="56">
        <v>500</v>
      </c>
    </row>
    <row r="8" spans="1:6" ht="17.100000000000001" customHeight="1">
      <c r="A8" s="39" t="s">
        <v>177</v>
      </c>
      <c r="B8" s="44">
        <v>500</v>
      </c>
      <c r="C8" s="56">
        <v>500</v>
      </c>
      <c r="D8" s="56">
        <v>500</v>
      </c>
      <c r="E8" s="56">
        <v>500</v>
      </c>
      <c r="F8" s="56">
        <v>500</v>
      </c>
    </row>
    <row r="9" spans="1:6" ht="17.100000000000001" customHeight="1">
      <c r="A9" s="39" t="s">
        <v>178</v>
      </c>
      <c r="B9" s="44">
        <v>1500</v>
      </c>
      <c r="C9" s="56">
        <v>1000</v>
      </c>
      <c r="D9" s="56">
        <v>1500</v>
      </c>
      <c r="E9" s="56">
        <v>2000</v>
      </c>
      <c r="F9" s="56">
        <v>0</v>
      </c>
    </row>
    <row r="10" spans="1:6" ht="17.100000000000001" customHeight="1">
      <c r="A10" s="39" t="s">
        <v>179</v>
      </c>
      <c r="B10" s="44">
        <v>1900</v>
      </c>
      <c r="C10" s="56">
        <v>3800</v>
      </c>
      <c r="D10" s="56">
        <v>4000</v>
      </c>
      <c r="E10" s="56">
        <v>5000</v>
      </c>
      <c r="F10" s="56">
        <v>5000</v>
      </c>
    </row>
    <row r="11" spans="1:6" ht="17.100000000000001" customHeight="1">
      <c r="A11" s="39" t="s">
        <v>135</v>
      </c>
      <c r="B11" s="68">
        <v>1080</v>
      </c>
      <c r="C11" s="56">
        <v>1500</v>
      </c>
      <c r="D11" s="56">
        <v>1500</v>
      </c>
      <c r="E11" s="56">
        <v>1500</v>
      </c>
      <c r="F11" s="56">
        <v>1500</v>
      </c>
    </row>
    <row r="12" spans="1:6" ht="17.100000000000001" customHeight="1">
      <c r="A12" s="38" t="s">
        <v>322</v>
      </c>
      <c r="B12" s="68"/>
      <c r="C12" s="67">
        <v>1300</v>
      </c>
      <c r="D12" s="67">
        <v>1300</v>
      </c>
      <c r="E12" s="67">
        <v>1000</v>
      </c>
      <c r="F12" s="67">
        <v>1000</v>
      </c>
    </row>
    <row r="13" spans="1:6" ht="17.100000000000001" customHeight="1">
      <c r="A13" s="39" t="s">
        <v>137</v>
      </c>
      <c r="B13" s="68">
        <v>1000</v>
      </c>
      <c r="C13" s="56">
        <v>1000</v>
      </c>
      <c r="D13" s="56">
        <v>750</v>
      </c>
      <c r="E13" s="56">
        <v>1000</v>
      </c>
      <c r="F13" s="56">
        <v>0</v>
      </c>
    </row>
    <row r="14" spans="1:6" ht="17.100000000000001" customHeight="1">
      <c r="A14" s="39" t="s">
        <v>136</v>
      </c>
      <c r="B14" s="68">
        <v>100</v>
      </c>
      <c r="C14" s="56">
        <v>100</v>
      </c>
      <c r="D14" s="56">
        <v>100</v>
      </c>
      <c r="E14" s="56">
        <v>100</v>
      </c>
      <c r="F14" s="56">
        <v>100</v>
      </c>
    </row>
    <row r="15" spans="1:6" ht="17.100000000000001" customHeight="1">
      <c r="A15" s="38" t="s">
        <v>567</v>
      </c>
      <c r="B15" s="68">
        <v>300</v>
      </c>
      <c r="C15" s="67"/>
      <c r="D15" s="67">
        <v>750</v>
      </c>
      <c r="E15" s="67"/>
      <c r="F15" s="67"/>
    </row>
    <row r="16" spans="1:6" ht="17.100000000000001" customHeight="1">
      <c r="A16" s="38" t="s">
        <v>566</v>
      </c>
      <c r="B16" s="68">
        <v>2312</v>
      </c>
      <c r="C16" s="67"/>
      <c r="D16" s="67"/>
      <c r="E16" s="67">
        <v>1000</v>
      </c>
      <c r="F16" s="67">
        <v>1000</v>
      </c>
    </row>
    <row r="17" spans="1:6" ht="17.100000000000001" customHeight="1">
      <c r="A17" s="38" t="s">
        <v>568</v>
      </c>
      <c r="B17" s="68"/>
      <c r="C17" s="67"/>
      <c r="D17" s="67"/>
      <c r="E17" s="67">
        <v>6800</v>
      </c>
      <c r="F17" s="67">
        <v>0</v>
      </c>
    </row>
    <row r="18" spans="1:6" ht="17.100000000000001" customHeight="1">
      <c r="A18" s="38" t="s">
        <v>565</v>
      </c>
      <c r="B18" s="117"/>
      <c r="C18" s="116">
        <v>25000</v>
      </c>
      <c r="D18" s="116"/>
      <c r="E18" s="116">
        <v>18000</v>
      </c>
      <c r="F18" s="116">
        <v>0</v>
      </c>
    </row>
    <row r="19" spans="1:6" ht="17.100000000000001" customHeight="1">
      <c r="A19" s="143" t="s">
        <v>688</v>
      </c>
      <c r="B19" s="117"/>
      <c r="C19" s="116"/>
      <c r="D19" s="116"/>
      <c r="E19" s="116"/>
      <c r="F19" s="116">
        <v>62650.8</v>
      </c>
    </row>
    <row r="20" spans="1:6" ht="17.100000000000001" customHeight="1">
      <c r="A20" s="143" t="s">
        <v>689</v>
      </c>
      <c r="B20" s="117"/>
      <c r="C20" s="116"/>
      <c r="D20" s="116"/>
      <c r="E20" s="116"/>
      <c r="F20" s="116">
        <v>20979</v>
      </c>
    </row>
    <row r="21" spans="1:6" ht="17.100000000000001" customHeight="1">
      <c r="A21" s="143"/>
      <c r="B21" s="117"/>
      <c r="C21" s="116"/>
      <c r="D21" s="116"/>
      <c r="E21" s="116"/>
      <c r="F21" s="116"/>
    </row>
    <row r="22" spans="1:6" ht="17.100000000000001" customHeight="1" thickBot="1">
      <c r="A22" s="789" t="s">
        <v>569</v>
      </c>
      <c r="B22" s="68">
        <v>-200</v>
      </c>
      <c r="C22" s="67"/>
      <c r="D22" s="67"/>
      <c r="E22" s="67"/>
      <c r="F22" s="67"/>
    </row>
    <row r="23" spans="1:6" ht="18.75" customHeight="1" thickTop="1">
      <c r="A23" s="98" t="s">
        <v>150</v>
      </c>
      <c r="B23" s="46">
        <f>SUM(B4:B21)</f>
        <v>10192</v>
      </c>
      <c r="C23" s="144">
        <f>SUM(C4:C21)</f>
        <v>35700</v>
      </c>
      <c r="D23" s="144">
        <f>SUM(D4:D21)</f>
        <v>11900</v>
      </c>
      <c r="E23" s="144">
        <f>SUM(E5:E22)</f>
        <v>38400</v>
      </c>
      <c r="F23" s="144">
        <f>SUM(F5:F22)</f>
        <v>94229.8</v>
      </c>
    </row>
    <row r="24" spans="1:6" ht="18.75" customHeight="1">
      <c r="A24" s="17"/>
    </row>
    <row r="25" spans="1:6" ht="18.75" customHeight="1">
      <c r="A25" s="17"/>
    </row>
    <row r="26" spans="1:6" ht="18.75" customHeight="1">
      <c r="A26" s="17"/>
    </row>
    <row r="27" spans="1:6" ht="18.75" customHeight="1">
      <c r="A27" s="17"/>
    </row>
    <row r="28" spans="1:6" ht="18.75" customHeight="1">
      <c r="A28" s="17"/>
    </row>
    <row r="29" spans="1:6" ht="18.75" customHeight="1">
      <c r="A29" s="17"/>
    </row>
    <row r="30" spans="1:6" ht="18.75" customHeight="1">
      <c r="A30" s="17"/>
    </row>
    <row r="31" spans="1:6" ht="18.75" customHeight="1">
      <c r="A31" s="17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defaultRowHeight="16.5"/>
  <cols>
    <col min="1" max="1" width="34.140625" style="121" customWidth="1"/>
    <col min="2" max="2" width="11.7109375" style="121" hidden="1" customWidth="1"/>
    <col min="3" max="4" width="11.7109375" style="121" customWidth="1"/>
    <col min="5" max="6" width="12.5703125" style="121" customWidth="1"/>
    <col min="7" max="16384" width="9.140625" style="121"/>
  </cols>
  <sheetData>
    <row r="1" spans="1:6">
      <c r="A1" s="912" t="s">
        <v>700</v>
      </c>
      <c r="B1" s="237"/>
      <c r="C1" s="237"/>
      <c r="D1" s="237"/>
      <c r="E1" s="240"/>
      <c r="F1" s="240"/>
    </row>
    <row r="2" spans="1:6">
      <c r="A2" s="137"/>
      <c r="B2" s="51"/>
      <c r="C2" s="51"/>
      <c r="D2" s="51"/>
      <c r="E2" s="51"/>
      <c r="F2" s="51"/>
    </row>
    <row r="3" spans="1:6">
      <c r="A3" s="37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>
      <c r="A4" s="241" t="s">
        <v>138</v>
      </c>
      <c r="B4" s="109"/>
      <c r="C4" s="109"/>
      <c r="D4" s="109"/>
      <c r="E4" s="109"/>
      <c r="F4" s="109"/>
    </row>
    <row r="5" spans="1:6">
      <c r="A5" s="57"/>
      <c r="B5" s="51"/>
      <c r="C5" s="57"/>
      <c r="D5" s="57"/>
      <c r="E5" s="57"/>
      <c r="F5" s="57"/>
    </row>
    <row r="6" spans="1:6">
      <c r="A6" s="39" t="s">
        <v>140</v>
      </c>
      <c r="B6" s="51">
        <v>1800</v>
      </c>
      <c r="C6" s="36">
        <v>2000</v>
      </c>
      <c r="D6" s="36">
        <v>2100</v>
      </c>
      <c r="E6" s="36">
        <v>2100</v>
      </c>
      <c r="F6" s="36">
        <v>2100</v>
      </c>
    </row>
    <row r="7" spans="1:6">
      <c r="A7" s="39" t="s">
        <v>324</v>
      </c>
      <c r="B7" s="51">
        <v>16000</v>
      </c>
      <c r="C7" s="51">
        <v>16000</v>
      </c>
      <c r="D7" s="51">
        <v>17000</v>
      </c>
      <c r="E7" s="51">
        <v>30000</v>
      </c>
      <c r="F7" s="51">
        <v>30000</v>
      </c>
    </row>
    <row r="8" spans="1:6">
      <c r="A8" s="39" t="s">
        <v>139</v>
      </c>
      <c r="B8" s="51">
        <v>1000</v>
      </c>
      <c r="C8" s="36">
        <v>1000</v>
      </c>
      <c r="D8" s="36">
        <v>1200</v>
      </c>
      <c r="E8" s="36">
        <v>1350</v>
      </c>
      <c r="F8" s="36">
        <v>1350</v>
      </c>
    </row>
    <row r="9" spans="1:6">
      <c r="A9" s="39" t="s">
        <v>222</v>
      </c>
      <c r="B9" s="51">
        <v>1000</v>
      </c>
      <c r="C9" s="51">
        <v>800</v>
      </c>
      <c r="D9" s="51">
        <v>500</v>
      </c>
      <c r="E9" s="51">
        <v>600</v>
      </c>
      <c r="F9" s="51">
        <v>800</v>
      </c>
    </row>
    <row r="10" spans="1:6">
      <c r="A10" s="39" t="s">
        <v>323</v>
      </c>
      <c r="B10" s="51">
        <v>19000</v>
      </c>
      <c r="C10" s="51">
        <v>20000</v>
      </c>
      <c r="D10" s="51">
        <v>20000</v>
      </c>
      <c r="E10" s="51">
        <v>25000</v>
      </c>
      <c r="F10" s="51">
        <v>25000</v>
      </c>
    </row>
    <row r="11" spans="1:6">
      <c r="A11" s="39" t="s">
        <v>160</v>
      </c>
      <c r="B11" s="51">
        <v>3500</v>
      </c>
      <c r="C11" s="51">
        <v>3000</v>
      </c>
      <c r="D11" s="51">
        <v>2000</v>
      </c>
      <c r="E11" s="51">
        <v>3000</v>
      </c>
      <c r="F11" s="51">
        <v>3000</v>
      </c>
    </row>
    <row r="12" spans="1:6">
      <c r="A12" s="39" t="s">
        <v>108</v>
      </c>
      <c r="B12" s="36">
        <v>1000</v>
      </c>
      <c r="C12" s="36">
        <v>1100</v>
      </c>
      <c r="D12" s="36">
        <v>1200</v>
      </c>
      <c r="E12" s="36">
        <v>1700</v>
      </c>
      <c r="F12" s="36">
        <v>1700</v>
      </c>
    </row>
    <row r="13" spans="1:6">
      <c r="A13" s="39" t="s">
        <v>691</v>
      </c>
      <c r="B13" s="36">
        <v>2500</v>
      </c>
      <c r="C13" s="51">
        <v>2000</v>
      </c>
      <c r="D13" s="51">
        <v>2000</v>
      </c>
      <c r="E13" s="51">
        <v>2000</v>
      </c>
      <c r="F13" s="51">
        <v>2000</v>
      </c>
    </row>
    <row r="14" spans="1:6">
      <c r="A14" s="39" t="s">
        <v>220</v>
      </c>
      <c r="B14" s="51">
        <v>9000</v>
      </c>
      <c r="C14" s="51">
        <v>12000</v>
      </c>
      <c r="D14" s="51">
        <v>12000</v>
      </c>
      <c r="E14" s="51">
        <v>15000</v>
      </c>
      <c r="F14" s="51">
        <v>16000</v>
      </c>
    </row>
    <row r="15" spans="1:6">
      <c r="A15" s="39" t="s">
        <v>219</v>
      </c>
      <c r="B15" s="36">
        <v>3000</v>
      </c>
      <c r="C15" s="51">
        <v>3000</v>
      </c>
      <c r="D15" s="51">
        <v>2500</v>
      </c>
      <c r="E15" s="51">
        <v>3000</v>
      </c>
      <c r="F15" s="51">
        <v>3000</v>
      </c>
    </row>
    <row r="16" spans="1:6">
      <c r="A16" s="39" t="s">
        <v>221</v>
      </c>
      <c r="B16" s="36">
        <v>350</v>
      </c>
      <c r="C16" s="51">
        <v>245.5</v>
      </c>
      <c r="D16" s="51">
        <v>250</v>
      </c>
      <c r="E16" s="51">
        <v>300</v>
      </c>
      <c r="F16" s="51">
        <v>300</v>
      </c>
    </row>
    <row r="17" spans="1:6">
      <c r="A17" s="683" t="s">
        <v>687</v>
      </c>
      <c r="B17" s="117"/>
      <c r="C17" s="656"/>
      <c r="D17" s="656"/>
      <c r="E17" s="656"/>
      <c r="F17" s="656">
        <v>3000</v>
      </c>
    </row>
    <row r="18" spans="1:6">
      <c r="A18" s="683" t="s">
        <v>692</v>
      </c>
      <c r="B18" s="117"/>
      <c r="C18" s="656"/>
      <c r="D18" s="656"/>
      <c r="E18" s="656"/>
      <c r="F18" s="656">
        <v>2500</v>
      </c>
    </row>
    <row r="19" spans="1:6">
      <c r="A19" s="69" t="s">
        <v>693</v>
      </c>
      <c r="B19" s="117"/>
      <c r="C19" s="656"/>
      <c r="D19" s="656"/>
      <c r="E19" s="656"/>
      <c r="F19" s="656">
        <v>2000</v>
      </c>
    </row>
    <row r="20" spans="1:6">
      <c r="A20" s="69" t="s">
        <v>764</v>
      </c>
      <c r="B20" s="117"/>
      <c r="C20" s="656"/>
      <c r="D20" s="656"/>
      <c r="E20" s="656"/>
      <c r="F20" s="656">
        <v>3830</v>
      </c>
    </row>
    <row r="21" spans="1:6">
      <c r="A21" s="49"/>
      <c r="B21" s="52"/>
      <c r="C21" s="52"/>
      <c r="D21" s="52"/>
      <c r="E21" s="52"/>
      <c r="F21" s="52"/>
    </row>
    <row r="22" spans="1:6" ht="17.25" thickBot="1">
      <c r="A22" s="49" t="s">
        <v>569</v>
      </c>
      <c r="B22" s="52">
        <v>-15000</v>
      </c>
      <c r="C22" s="52"/>
      <c r="D22" s="52"/>
      <c r="E22" s="52"/>
      <c r="F22" s="52"/>
    </row>
    <row r="23" spans="1:6" ht="17.25" thickTop="1">
      <c r="A23" s="242" t="s">
        <v>150</v>
      </c>
      <c r="B23" s="144">
        <f>SUM(B4:B22)</f>
        <v>43150</v>
      </c>
      <c r="C23" s="144">
        <f>SUM(C4:C22)</f>
        <v>61145.5</v>
      </c>
      <c r="D23" s="144">
        <f>SUM(D4:D22)</f>
        <v>60750</v>
      </c>
      <c r="E23" s="144">
        <f>SUM(E4:E22)</f>
        <v>84050</v>
      </c>
      <c r="F23" s="144">
        <f>SUM(F4:F22)</f>
        <v>96580</v>
      </c>
    </row>
  </sheetData>
  <sortState ref="A7:E16">
    <sortCondition ref="A7:A16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pane ySplit="2" topLeftCell="A3" activePane="bottomLeft" state="frozen"/>
      <selection pane="bottomLeft"/>
    </sheetView>
  </sheetViews>
  <sheetFormatPr defaultRowHeight="16.5"/>
  <cols>
    <col min="1" max="1" width="37.5703125" style="121" customWidth="1"/>
    <col min="2" max="2" width="11.7109375" style="121" hidden="1" customWidth="1"/>
    <col min="3" max="4" width="11.7109375" style="121" customWidth="1"/>
    <col min="5" max="6" width="12.5703125" style="121" customWidth="1"/>
    <col min="7" max="16384" width="9.140625" style="121"/>
  </cols>
  <sheetData>
    <row r="1" spans="1:6" ht="18" customHeight="1">
      <c r="A1" s="912" t="s">
        <v>245</v>
      </c>
      <c r="B1" s="247"/>
      <c r="C1" s="247"/>
      <c r="D1" s="247"/>
      <c r="E1" s="247"/>
      <c r="F1" s="247"/>
    </row>
    <row r="2" spans="1:6" ht="18" customHeight="1">
      <c r="A2" s="137" t="s">
        <v>152</v>
      </c>
      <c r="B2" s="109">
        <v>2010</v>
      </c>
      <c r="C2" s="109">
        <v>2012</v>
      </c>
      <c r="D2" s="109">
        <v>2013</v>
      </c>
      <c r="E2" s="109">
        <v>2014</v>
      </c>
      <c r="F2" s="109">
        <v>2015</v>
      </c>
    </row>
    <row r="3" spans="1:6" ht="18" customHeight="1">
      <c r="A3" s="137"/>
      <c r="B3" s="110"/>
      <c r="C3" s="110"/>
      <c r="D3" s="110"/>
      <c r="E3" s="110"/>
      <c r="F3" s="110"/>
    </row>
    <row r="4" spans="1:6" ht="18" customHeight="1">
      <c r="A4" s="55" t="s">
        <v>181</v>
      </c>
      <c r="B4" s="56">
        <v>400</v>
      </c>
      <c r="C4" s="56">
        <v>300</v>
      </c>
      <c r="D4" s="56">
        <v>350</v>
      </c>
      <c r="E4" s="56">
        <v>400</v>
      </c>
      <c r="F4" s="56">
        <v>400</v>
      </c>
    </row>
    <row r="5" spans="1:6" ht="18" customHeight="1">
      <c r="A5" s="55" t="s">
        <v>230</v>
      </c>
      <c r="B5" s="56">
        <v>500</v>
      </c>
      <c r="C5" s="56">
        <v>500</v>
      </c>
      <c r="D5" s="56">
        <v>250</v>
      </c>
      <c r="E5" s="56">
        <v>250</v>
      </c>
      <c r="F5" s="56">
        <v>250</v>
      </c>
    </row>
    <row r="6" spans="1:6" ht="18" customHeight="1">
      <c r="A6" s="55" t="s">
        <v>3</v>
      </c>
      <c r="B6" s="56">
        <v>2500</v>
      </c>
      <c r="C6" s="56">
        <v>1400</v>
      </c>
      <c r="D6" s="56">
        <v>1400</v>
      </c>
      <c r="E6" s="56">
        <v>1400</v>
      </c>
      <c r="F6" s="56">
        <v>1500</v>
      </c>
    </row>
    <row r="7" spans="1:6" ht="18" customHeight="1">
      <c r="A7" s="55" t="s">
        <v>2</v>
      </c>
      <c r="B7" s="131">
        <v>750</v>
      </c>
      <c r="C7" s="56">
        <v>1000</v>
      </c>
      <c r="D7" s="56">
        <v>850</v>
      </c>
      <c r="E7" s="56">
        <v>850</v>
      </c>
      <c r="F7" s="56">
        <v>850</v>
      </c>
    </row>
    <row r="8" spans="1:6" ht="18" customHeight="1">
      <c r="A8" s="39" t="s">
        <v>25</v>
      </c>
      <c r="B8" s="131">
        <v>600</v>
      </c>
      <c r="C8" s="67">
        <v>300</v>
      </c>
      <c r="D8" s="67">
        <v>300</v>
      </c>
      <c r="E8" s="67">
        <v>300</v>
      </c>
      <c r="F8" s="67">
        <v>300</v>
      </c>
    </row>
    <row r="9" spans="1:6" ht="18" customHeight="1">
      <c r="A9" s="55" t="s">
        <v>258</v>
      </c>
      <c r="B9" s="115">
        <v>6000</v>
      </c>
      <c r="C9" s="56">
        <v>6500</v>
      </c>
      <c r="D9" s="56">
        <v>7500</v>
      </c>
      <c r="E9" s="56">
        <v>7500</v>
      </c>
      <c r="F9" s="56">
        <v>7500</v>
      </c>
    </row>
    <row r="10" spans="1:6" ht="18" customHeight="1">
      <c r="A10" s="653" t="s">
        <v>4</v>
      </c>
      <c r="B10" s="131">
        <v>1500</v>
      </c>
      <c r="C10" s="131">
        <v>200</v>
      </c>
      <c r="D10" s="131">
        <v>200</v>
      </c>
      <c r="E10" s="131">
        <v>750</v>
      </c>
      <c r="F10" s="131">
        <v>750</v>
      </c>
    </row>
    <row r="11" spans="1:6" ht="18" customHeight="1">
      <c r="A11" s="39" t="s">
        <v>695</v>
      </c>
      <c r="B11" s="68">
        <v>1000</v>
      </c>
      <c r="C11" s="68"/>
      <c r="D11" s="68"/>
      <c r="E11" s="68"/>
      <c r="F11" s="68">
        <f>10740</f>
        <v>10740</v>
      </c>
    </row>
    <row r="12" spans="1:6" ht="18" customHeight="1">
      <c r="A12" s="227" t="s">
        <v>694</v>
      </c>
      <c r="B12" s="56">
        <v>100</v>
      </c>
      <c r="C12" s="115">
        <v>100</v>
      </c>
      <c r="D12" s="115">
        <v>100</v>
      </c>
      <c r="E12" s="115">
        <v>100</v>
      </c>
      <c r="F12" s="115">
        <v>100</v>
      </c>
    </row>
    <row r="13" spans="1:6" ht="18" customHeight="1">
      <c r="A13" s="227" t="s">
        <v>226</v>
      </c>
      <c r="B13" s="56">
        <v>250</v>
      </c>
      <c r="C13" s="56"/>
      <c r="D13" s="56"/>
      <c r="E13" s="56">
        <v>300</v>
      </c>
      <c r="F13" s="56">
        <v>300</v>
      </c>
    </row>
    <row r="14" spans="1:6" ht="18" customHeight="1">
      <c r="A14" s="55" t="s">
        <v>325</v>
      </c>
      <c r="B14" s="131">
        <v>11000</v>
      </c>
      <c r="C14" s="68">
        <v>7500</v>
      </c>
      <c r="D14" s="68">
        <v>7500</v>
      </c>
      <c r="E14" s="68">
        <v>8000</v>
      </c>
      <c r="F14" s="68">
        <v>8000</v>
      </c>
    </row>
    <row r="15" spans="1:6" ht="18" customHeight="1">
      <c r="A15" s="227" t="s">
        <v>256</v>
      </c>
      <c r="B15" s="56">
        <v>1500</v>
      </c>
      <c r="C15" s="56">
        <v>1000</v>
      </c>
      <c r="D15" s="56">
        <v>1000</v>
      </c>
      <c r="E15" s="56">
        <v>2000</v>
      </c>
      <c r="F15" s="56">
        <v>2000</v>
      </c>
    </row>
    <row r="16" spans="1:6" ht="18" customHeight="1">
      <c r="A16" s="55" t="s">
        <v>326</v>
      </c>
      <c r="B16" s="56">
        <v>2000</v>
      </c>
      <c r="C16" s="131">
        <v>1500</v>
      </c>
      <c r="D16" s="131">
        <v>1500</v>
      </c>
      <c r="E16" s="131">
        <v>1500</v>
      </c>
      <c r="F16" s="131">
        <v>1500</v>
      </c>
    </row>
    <row r="17" spans="1:6" ht="18" customHeight="1">
      <c r="A17" s="653" t="s">
        <v>631</v>
      </c>
      <c r="B17" s="131">
        <v>2800</v>
      </c>
      <c r="C17" s="131">
        <v>3000</v>
      </c>
      <c r="D17" s="131">
        <v>3000</v>
      </c>
      <c r="E17" s="131">
        <v>3000</v>
      </c>
      <c r="F17" s="131" t="s">
        <v>763</v>
      </c>
    </row>
    <row r="18" spans="1:6" ht="18" customHeight="1">
      <c r="A18" s="55" t="s">
        <v>257</v>
      </c>
      <c r="B18" s="56">
        <v>300</v>
      </c>
      <c r="C18" s="68">
        <v>300</v>
      </c>
      <c r="D18" s="68">
        <v>300</v>
      </c>
      <c r="E18" s="68">
        <v>300</v>
      </c>
      <c r="F18" s="68">
        <v>300</v>
      </c>
    </row>
    <row r="19" spans="1:6" ht="18" customHeight="1">
      <c r="A19" s="57" t="s">
        <v>327</v>
      </c>
      <c r="B19" s="654">
        <v>750</v>
      </c>
      <c r="C19" s="655">
        <v>600</v>
      </c>
      <c r="D19" s="655">
        <v>600</v>
      </c>
      <c r="E19" s="655">
        <v>600</v>
      </c>
      <c r="F19" s="655">
        <v>600</v>
      </c>
    </row>
    <row r="20" spans="1:6" ht="18" customHeight="1">
      <c r="A20" s="57" t="s">
        <v>227</v>
      </c>
      <c r="B20" s="745">
        <v>1000</v>
      </c>
      <c r="C20" s="654">
        <v>700</v>
      </c>
      <c r="D20" s="654">
        <v>1000</v>
      </c>
      <c r="E20" s="654">
        <v>1500</v>
      </c>
      <c r="F20" s="654">
        <v>3000</v>
      </c>
    </row>
    <row r="21" spans="1:6" ht="18" customHeight="1">
      <c r="A21" s="120" t="s">
        <v>228</v>
      </c>
      <c r="B21" s="654">
        <v>250</v>
      </c>
      <c r="C21" s="745">
        <v>500</v>
      </c>
      <c r="D21" s="745"/>
      <c r="E21" s="745">
        <v>750</v>
      </c>
      <c r="F21" s="745">
        <v>750</v>
      </c>
    </row>
    <row r="22" spans="1:6" ht="18" customHeight="1">
      <c r="A22" s="57" t="s">
        <v>229</v>
      </c>
      <c r="B22" s="908"/>
      <c r="C22" s="654">
        <v>300</v>
      </c>
      <c r="D22" s="654">
        <v>400</v>
      </c>
      <c r="E22" s="654">
        <v>400</v>
      </c>
      <c r="F22" s="654">
        <v>400</v>
      </c>
    </row>
    <row r="23" spans="1:6" ht="18" customHeight="1">
      <c r="A23" s="69" t="s">
        <v>570</v>
      </c>
      <c r="B23" s="655"/>
      <c r="C23" s="655"/>
      <c r="D23" s="655">
        <v>25000</v>
      </c>
      <c r="E23" s="655"/>
      <c r="F23" s="655"/>
    </row>
    <row r="24" spans="1:6" ht="18" customHeight="1">
      <c r="A24" s="909" t="s">
        <v>696</v>
      </c>
      <c r="C24" s="910"/>
      <c r="D24" s="910"/>
      <c r="E24" s="910"/>
      <c r="F24" s="655">
        <v>9086</v>
      </c>
    </row>
    <row r="25" spans="1:6" ht="18" customHeight="1">
      <c r="A25" s="683" t="s">
        <v>697</v>
      </c>
      <c r="B25" s="656"/>
      <c r="C25" s="656"/>
      <c r="D25" s="656"/>
      <c r="E25" s="656"/>
      <c r="F25" s="655">
        <v>5000</v>
      </c>
    </row>
    <row r="26" spans="1:6" ht="18" customHeight="1">
      <c r="A26" s="911"/>
      <c r="C26" s="911"/>
      <c r="D26" s="398"/>
      <c r="E26" s="398"/>
      <c r="F26" s="57"/>
    </row>
    <row r="27" spans="1:6" ht="18" customHeight="1">
      <c r="A27" s="792" t="s">
        <v>569</v>
      </c>
      <c r="B27" s="656">
        <v>-20000</v>
      </c>
      <c r="C27" s="656"/>
      <c r="D27" s="656"/>
      <c r="E27" s="656"/>
      <c r="F27" s="655"/>
    </row>
    <row r="28" spans="1:6" ht="18" customHeight="1">
      <c r="A28" s="657" t="s">
        <v>204</v>
      </c>
      <c r="B28" s="545">
        <f>SUM(B3:B27)</f>
        <v>13200</v>
      </c>
      <c r="C28" s="545">
        <f>SUM(C3:C27)</f>
        <v>25700</v>
      </c>
      <c r="D28" s="545">
        <f>SUM(D3:D27)</f>
        <v>51250</v>
      </c>
      <c r="E28" s="545">
        <f>SUM(E3:E27)</f>
        <v>29900</v>
      </c>
      <c r="F28" s="545">
        <f>SUM(F3:F27)</f>
        <v>53326</v>
      </c>
    </row>
    <row r="29" spans="1:6" ht="18" customHeight="1">
      <c r="A29" s="27"/>
    </row>
    <row r="33" spans="1:1">
      <c r="A33" s="249"/>
    </row>
    <row r="34" spans="1:1">
      <c r="A34" s="249"/>
    </row>
    <row r="35" spans="1:1">
      <c r="A35" s="249"/>
    </row>
    <row r="36" spans="1:1">
      <c r="A36" s="249"/>
    </row>
    <row r="37" spans="1:1">
      <c r="A37" s="250"/>
    </row>
    <row r="38" spans="1:1">
      <c r="A38" s="249"/>
    </row>
  </sheetData>
  <sortState ref="A4:E23">
    <sortCondition ref="A4:A23"/>
  </sortState>
  <phoneticPr fontId="19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defaultRowHeight="16.5"/>
  <cols>
    <col min="1" max="1" width="34.5703125" style="121" customWidth="1"/>
    <col min="2" max="2" width="10.7109375" style="121" hidden="1" customWidth="1"/>
    <col min="3" max="3" width="11.5703125" style="121" bestFit="1" customWidth="1"/>
    <col min="4" max="4" width="10.7109375" style="121" customWidth="1"/>
    <col min="5" max="6" width="11.5703125" style="121" customWidth="1"/>
    <col min="7" max="16384" width="9.140625" style="121"/>
  </cols>
  <sheetData>
    <row r="1" spans="1:6" ht="24" customHeight="1">
      <c r="A1" s="912" t="s">
        <v>702</v>
      </c>
      <c r="B1" s="221"/>
      <c r="C1" s="221"/>
      <c r="D1" s="221"/>
      <c r="E1" s="251"/>
      <c r="F1" s="251"/>
    </row>
    <row r="2" spans="1:6" ht="20.100000000000001" customHeight="1">
      <c r="A2" s="226"/>
      <c r="B2" s="108"/>
      <c r="C2" s="108"/>
      <c r="D2" s="108"/>
      <c r="E2" s="57"/>
      <c r="F2" s="57"/>
    </row>
    <row r="3" spans="1:6" ht="20.100000000000001" customHeight="1">
      <c r="A3" s="226"/>
      <c r="B3" s="43">
        <v>2010</v>
      </c>
      <c r="C3" s="119">
        <v>2012</v>
      </c>
      <c r="D3" s="119">
        <v>2013</v>
      </c>
      <c r="E3" s="119">
        <v>2014</v>
      </c>
      <c r="F3" s="119">
        <v>2015</v>
      </c>
    </row>
    <row r="4" spans="1:6" ht="20.100000000000001" customHeight="1">
      <c r="A4" s="226"/>
      <c r="B4" s="111"/>
      <c r="C4" s="252"/>
      <c r="D4" s="252"/>
      <c r="E4" s="252"/>
      <c r="F4" s="252"/>
    </row>
    <row r="5" spans="1:6" ht="20.100000000000001" customHeight="1">
      <c r="A5" s="55" t="s">
        <v>223</v>
      </c>
      <c r="B5" s="339">
        <v>16766</v>
      </c>
      <c r="C5" s="270">
        <v>15109</v>
      </c>
      <c r="D5" s="270">
        <v>19465</v>
      </c>
      <c r="E5" s="270">
        <v>19269</v>
      </c>
      <c r="F5" s="270">
        <f>'Uniform WS'!E47</f>
        <v>18617.73</v>
      </c>
    </row>
    <row r="6" spans="1:6" ht="20.100000000000001" customHeight="1">
      <c r="A6" s="39" t="s">
        <v>224</v>
      </c>
      <c r="B6" s="339">
        <v>37450</v>
      </c>
      <c r="C6" s="223">
        <f>'Gear WS'!C22</f>
        <v>34975</v>
      </c>
      <c r="D6" s="223">
        <f>'Gear WS'!D22</f>
        <v>31900</v>
      </c>
      <c r="E6" s="223">
        <f>'Gear WS'!E22</f>
        <v>34917.75</v>
      </c>
      <c r="F6" s="223">
        <f>'Gear WS'!F22</f>
        <v>38575.300000000003</v>
      </c>
    </row>
    <row r="7" spans="1:6" ht="20.100000000000001" customHeight="1">
      <c r="A7" s="283"/>
      <c r="B7" s="338"/>
      <c r="C7" s="59"/>
      <c r="D7" s="338"/>
      <c r="E7" s="338"/>
      <c r="F7" s="338"/>
    </row>
    <row r="8" spans="1:6" ht="20.100000000000001" customHeight="1">
      <c r="A8" s="394"/>
      <c r="B8" s="223"/>
      <c r="C8" s="59"/>
      <c r="D8" s="223"/>
      <c r="E8" s="223"/>
      <c r="F8" s="223"/>
    </row>
    <row r="9" spans="1:6" ht="20.100000000000001" customHeight="1">
      <c r="A9" s="394"/>
      <c r="B9" s="223"/>
      <c r="C9" s="223"/>
      <c r="D9" s="223"/>
      <c r="E9" s="223"/>
      <c r="F9" s="223"/>
    </row>
    <row r="10" spans="1:6" ht="20.100000000000001" customHeight="1">
      <c r="A10" s="39"/>
      <c r="B10" s="223"/>
      <c r="C10" s="223"/>
      <c r="D10" s="223"/>
      <c r="E10" s="223"/>
      <c r="F10" s="223"/>
    </row>
    <row r="11" spans="1:6" ht="20.100000000000001" customHeight="1" thickBot="1">
      <c r="A11" s="791" t="s">
        <v>569</v>
      </c>
      <c r="B11" s="658">
        <v>-24500</v>
      </c>
      <c r="C11" s="282">
        <v>2500</v>
      </c>
      <c r="D11" s="282"/>
      <c r="E11" s="282"/>
      <c r="F11" s="282"/>
    </row>
    <row r="12" spans="1:6" ht="24" customHeight="1" thickTop="1">
      <c r="A12" s="248" t="s">
        <v>205</v>
      </c>
      <c r="B12" s="236">
        <f>SUM(B4:B11)</f>
        <v>29716</v>
      </c>
      <c r="C12" s="236">
        <f>SUM(C4:C11)</f>
        <v>52584</v>
      </c>
      <c r="D12" s="236">
        <f>SUM(D4:D11)</f>
        <v>51365</v>
      </c>
      <c r="E12" s="64">
        <f>SUM(E4:E11)</f>
        <v>54186.75</v>
      </c>
      <c r="F12" s="64">
        <f>SUM(F4:F11)</f>
        <v>57193.03</v>
      </c>
    </row>
    <row r="13" spans="1:6">
      <c r="B13" s="27"/>
      <c r="C13" s="27"/>
    </row>
    <row r="14" spans="1:6">
      <c r="B14" s="27"/>
      <c r="C14" s="27"/>
    </row>
    <row r="15" spans="1:6">
      <c r="B15" s="27"/>
      <c r="C15" s="27"/>
    </row>
    <row r="16" spans="1:6">
      <c r="B16" s="27"/>
      <c r="C16" s="27"/>
    </row>
    <row r="17" spans="2:3">
      <c r="B17" s="27"/>
      <c r="C17" s="27"/>
    </row>
    <row r="18" spans="2:3">
      <c r="B18" s="27"/>
      <c r="C18" s="27"/>
    </row>
    <row r="19" spans="2:3">
      <c r="B19" s="27"/>
      <c r="C19" s="27"/>
    </row>
    <row r="20" spans="2:3">
      <c r="B20" s="27"/>
      <c r="C20" s="27"/>
    </row>
    <row r="21" spans="2:3">
      <c r="B21" s="27"/>
      <c r="C21" s="27"/>
    </row>
    <row r="22" spans="2:3">
      <c r="B22" s="27"/>
      <c r="C22" s="27"/>
    </row>
    <row r="23" spans="2:3">
      <c r="B23" s="27"/>
      <c r="C23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179"/>
  <sheetViews>
    <sheetView workbookViewId="0">
      <selection sqref="A1:E1"/>
    </sheetView>
  </sheetViews>
  <sheetFormatPr defaultRowHeight="18.75" customHeight="1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>
      <c r="A1" s="935" t="s">
        <v>409</v>
      </c>
      <c r="B1" s="936"/>
      <c r="C1" s="936"/>
      <c r="D1" s="936"/>
      <c r="E1" s="937"/>
      <c r="G1" s="5"/>
    </row>
    <row r="2" spans="1:7" ht="15.75">
      <c r="A2" s="410" t="s">
        <v>161</v>
      </c>
      <c r="B2" s="411"/>
      <c r="C2" s="411"/>
      <c r="D2" s="411"/>
      <c r="E2" s="412"/>
      <c r="G2" s="5"/>
    </row>
    <row r="3" spans="1:7" s="10" customFormat="1" ht="15.75">
      <c r="A3" s="29" t="s">
        <v>162</v>
      </c>
      <c r="B3" s="413" t="s">
        <v>163</v>
      </c>
      <c r="C3" s="413" t="s">
        <v>164</v>
      </c>
      <c r="D3" s="413" t="s">
        <v>165</v>
      </c>
      <c r="E3" s="414" t="s">
        <v>166</v>
      </c>
      <c r="F3"/>
    </row>
    <row r="4" spans="1:7" ht="14.1" customHeight="1">
      <c r="A4" s="318" t="s">
        <v>167</v>
      </c>
      <c r="B4" s="316">
        <v>27</v>
      </c>
      <c r="C4" s="316">
        <v>1</v>
      </c>
      <c r="D4" s="415">
        <f>((87.5+97.5)/2)+6</f>
        <v>98.5</v>
      </c>
      <c r="E4" s="427">
        <f>B4*C4*D4</f>
        <v>2659.5</v>
      </c>
      <c r="G4" s="5"/>
    </row>
    <row r="5" spans="1:7" ht="14.1" customHeight="1">
      <c r="A5" s="318" t="s">
        <v>168</v>
      </c>
      <c r="B5" s="316">
        <v>27</v>
      </c>
      <c r="C5" s="316">
        <v>2</v>
      </c>
      <c r="D5" s="415">
        <f>104.5</f>
        <v>104.5</v>
      </c>
      <c r="E5" s="427">
        <f>B5*C5*D5</f>
        <v>5643</v>
      </c>
      <c r="G5" s="5"/>
    </row>
    <row r="6" spans="1:7" ht="14.1" customHeight="1">
      <c r="A6" s="318" t="s">
        <v>169</v>
      </c>
      <c r="B6" s="316">
        <v>27</v>
      </c>
      <c r="C6" s="316">
        <v>2</v>
      </c>
      <c r="D6" s="415">
        <v>10</v>
      </c>
      <c r="E6" s="427">
        <f>B6*C6*D6</f>
        <v>540</v>
      </c>
      <c r="G6" s="5"/>
    </row>
    <row r="7" spans="1:7" ht="14.1" customHeight="1">
      <c r="A7" s="318" t="s">
        <v>170</v>
      </c>
      <c r="B7" s="316">
        <v>27</v>
      </c>
      <c r="C7" s="316">
        <v>1</v>
      </c>
      <c r="D7" s="415">
        <f>34.99+8+6</f>
        <v>48.99</v>
      </c>
      <c r="E7" s="427">
        <f>B7*C7*D7</f>
        <v>1322.73</v>
      </c>
      <c r="G7" s="5"/>
    </row>
    <row r="8" spans="1:7" ht="14.1" customHeight="1">
      <c r="A8" s="318" t="s">
        <v>185</v>
      </c>
      <c r="B8" s="316">
        <v>27</v>
      </c>
      <c r="C8" s="316">
        <v>1</v>
      </c>
      <c r="D8" s="415">
        <f>64.5</f>
        <v>64.5</v>
      </c>
      <c r="E8" s="427">
        <f>B8*C8*D8</f>
        <v>1741.5</v>
      </c>
      <c r="G8" s="5"/>
    </row>
    <row r="9" spans="1:7" ht="14.1" customHeight="1">
      <c r="A9" s="416"/>
      <c r="B9" s="316"/>
      <c r="C9" s="316"/>
      <c r="D9" s="317"/>
      <c r="E9" s="428">
        <f>SUM(E4:E8)</f>
        <v>11906.73</v>
      </c>
      <c r="G9" s="5"/>
    </row>
    <row r="10" spans="1:7" ht="14.1" customHeight="1">
      <c r="A10" s="416" t="s">
        <v>171</v>
      </c>
      <c r="B10" s="316"/>
      <c r="C10" s="316"/>
      <c r="D10" s="316"/>
      <c r="E10" s="429"/>
      <c r="G10" s="5"/>
    </row>
    <row r="11" spans="1:7" s="7" customFormat="1" ht="14.1" customHeight="1">
      <c r="A11" s="29" t="s">
        <v>162</v>
      </c>
      <c r="B11" s="413" t="s">
        <v>163</v>
      </c>
      <c r="C11" s="413" t="s">
        <v>164</v>
      </c>
      <c r="D11" s="413" t="s">
        <v>165</v>
      </c>
      <c r="E11" s="414" t="s">
        <v>166</v>
      </c>
      <c r="F11"/>
    </row>
    <row r="12" spans="1:7" ht="14.1" customHeight="1">
      <c r="A12" s="318" t="s">
        <v>167</v>
      </c>
      <c r="B12" s="316">
        <v>2</v>
      </c>
      <c r="C12" s="316">
        <v>1</v>
      </c>
      <c r="D12" s="415">
        <f>87.5+6</f>
        <v>93.5</v>
      </c>
      <c r="E12" s="427">
        <f>B12*C12*D12</f>
        <v>187</v>
      </c>
      <c r="G12" s="5"/>
    </row>
    <row r="13" spans="1:7" ht="14.1" customHeight="1">
      <c r="A13" s="318" t="s">
        <v>169</v>
      </c>
      <c r="B13" s="316">
        <v>2</v>
      </c>
      <c r="C13" s="316">
        <v>1</v>
      </c>
      <c r="D13" s="415">
        <f>D6</f>
        <v>10</v>
      </c>
      <c r="E13" s="427">
        <f>B13*C13*D13</f>
        <v>20</v>
      </c>
      <c r="G13" s="5"/>
    </row>
    <row r="14" spans="1:7" ht="14.1" customHeight="1">
      <c r="A14" s="318" t="s">
        <v>170</v>
      </c>
      <c r="B14" s="316">
        <v>2</v>
      </c>
      <c r="C14" s="316">
        <v>1</v>
      </c>
      <c r="D14" s="415">
        <f>D7</f>
        <v>48.99</v>
      </c>
      <c r="E14" s="427">
        <f>B14*C14*D14</f>
        <v>97.98</v>
      </c>
      <c r="G14" s="5"/>
    </row>
    <row r="15" spans="1:7" ht="14.1" customHeight="1">
      <c r="A15" s="318" t="s">
        <v>185</v>
      </c>
      <c r="B15" s="316">
        <v>2</v>
      </c>
      <c r="C15" s="316">
        <v>1</v>
      </c>
      <c r="D15" s="415">
        <f>D8</f>
        <v>64.5</v>
      </c>
      <c r="E15" s="427">
        <f>B15*C15*D15</f>
        <v>129</v>
      </c>
      <c r="G15" s="5"/>
    </row>
    <row r="16" spans="1:7" ht="14.1" customHeight="1">
      <c r="A16" s="318"/>
      <c r="B16" s="316"/>
      <c r="C16" s="316"/>
      <c r="D16" s="317"/>
      <c r="E16" s="430">
        <f>SUM(E12:E15)</f>
        <v>433.98</v>
      </c>
      <c r="G16" s="5"/>
    </row>
    <row r="17" spans="1:7" ht="14.1" customHeight="1">
      <c r="A17" s="416" t="s">
        <v>51</v>
      </c>
      <c r="B17" s="316"/>
      <c r="C17" s="316"/>
      <c r="D17" s="316"/>
      <c r="E17" s="319"/>
      <c r="G17" s="5"/>
    </row>
    <row r="18" spans="1:7" s="7" customFormat="1" ht="14.1" customHeight="1">
      <c r="A18" s="29" t="s">
        <v>162</v>
      </c>
      <c r="B18" s="413" t="s">
        <v>163</v>
      </c>
      <c r="C18" s="413" t="s">
        <v>164</v>
      </c>
      <c r="D18" s="413" t="s">
        <v>165</v>
      </c>
      <c r="E18" s="414" t="s">
        <v>166</v>
      </c>
      <c r="F18"/>
    </row>
    <row r="19" spans="1:7" ht="14.1" customHeight="1">
      <c r="A19" s="318" t="s">
        <v>167</v>
      </c>
      <c r="B19" s="924">
        <v>3</v>
      </c>
      <c r="C19" s="316">
        <v>3</v>
      </c>
      <c r="D19" s="415">
        <f>D4</f>
        <v>98.5</v>
      </c>
      <c r="E19" s="427">
        <f>B19*C19*D19</f>
        <v>886.5</v>
      </c>
      <c r="G19" s="5"/>
    </row>
    <row r="20" spans="1:7" ht="14.1" customHeight="1">
      <c r="A20" s="318" t="s">
        <v>168</v>
      </c>
      <c r="B20" s="924">
        <v>3</v>
      </c>
      <c r="C20" s="316">
        <v>2</v>
      </c>
      <c r="D20" s="415">
        <f>D5</f>
        <v>104.5</v>
      </c>
      <c r="E20" s="427">
        <f>B20*C20*D20</f>
        <v>627</v>
      </c>
      <c r="G20" s="5"/>
    </row>
    <row r="21" spans="1:7" ht="14.1" customHeight="1">
      <c r="A21" s="318" t="s">
        <v>170</v>
      </c>
      <c r="B21" s="924">
        <v>3</v>
      </c>
      <c r="C21" s="316">
        <v>2</v>
      </c>
      <c r="D21" s="415">
        <f>D7</f>
        <v>48.99</v>
      </c>
      <c r="E21" s="427">
        <f>B21*C21*D21</f>
        <v>293.94</v>
      </c>
      <c r="G21" s="5"/>
    </row>
    <row r="22" spans="1:7" ht="14.1" customHeight="1">
      <c r="A22" s="318" t="s">
        <v>185</v>
      </c>
      <c r="B22" s="924">
        <v>3</v>
      </c>
      <c r="C22" s="316">
        <v>2</v>
      </c>
      <c r="D22" s="317">
        <f>D8</f>
        <v>64.5</v>
      </c>
      <c r="E22" s="427">
        <f>B22*C22*D22</f>
        <v>387</v>
      </c>
      <c r="G22" s="5"/>
    </row>
    <row r="23" spans="1:7" ht="14.1" customHeight="1">
      <c r="A23" s="416"/>
      <c r="B23" s="316"/>
      <c r="C23" s="316"/>
      <c r="D23" s="317"/>
      <c r="E23" s="430">
        <f>SUM(E19:E22)</f>
        <v>2194.44</v>
      </c>
      <c r="G23" s="5"/>
    </row>
    <row r="24" spans="1:7" ht="14.1" customHeight="1">
      <c r="A24" s="416" t="s">
        <v>172</v>
      </c>
      <c r="B24" s="316"/>
      <c r="C24" s="316"/>
      <c r="D24" s="316"/>
      <c r="E24" s="319"/>
      <c r="G24" s="5"/>
    </row>
    <row r="25" spans="1:7" s="7" customFormat="1" ht="14.1" customHeight="1">
      <c r="A25" s="73" t="s">
        <v>162</v>
      </c>
      <c r="B25" s="413" t="s">
        <v>163</v>
      </c>
      <c r="C25" s="413" t="s">
        <v>164</v>
      </c>
      <c r="D25" s="413" t="s">
        <v>165</v>
      </c>
      <c r="E25" s="414" t="s">
        <v>166</v>
      </c>
      <c r="F25"/>
    </row>
    <row r="26" spans="1:7" ht="14.1" customHeight="1">
      <c r="A26" s="318" t="s">
        <v>170</v>
      </c>
      <c r="B26" s="316">
        <v>2</v>
      </c>
      <c r="C26" s="316">
        <v>1</v>
      </c>
      <c r="D26" s="415">
        <f>D7</f>
        <v>48.99</v>
      </c>
      <c r="E26" s="427">
        <f>B26*C26*D26</f>
        <v>97.98</v>
      </c>
      <c r="G26" s="5"/>
    </row>
    <row r="27" spans="1:7" ht="14.1" customHeight="1">
      <c r="A27" s="416"/>
      <c r="B27" s="316"/>
      <c r="C27" s="316"/>
      <c r="D27" s="317"/>
      <c r="E27" s="431">
        <f>SUM(E26)</f>
        <v>97.98</v>
      </c>
      <c r="G27" s="5"/>
    </row>
    <row r="28" spans="1:7" ht="14.1" customHeight="1">
      <c r="A28" s="416" t="s">
        <v>173</v>
      </c>
      <c r="B28" s="316"/>
      <c r="C28" s="316"/>
      <c r="D28" s="316"/>
      <c r="E28" s="319"/>
      <c r="G28" s="5"/>
    </row>
    <row r="29" spans="1:7" s="7" customFormat="1" ht="14.1" customHeight="1">
      <c r="A29" s="29" t="s">
        <v>162</v>
      </c>
      <c r="B29" s="413" t="s">
        <v>163</v>
      </c>
      <c r="C29" s="413" t="s">
        <v>164</v>
      </c>
      <c r="D29" s="413" t="s">
        <v>165</v>
      </c>
      <c r="E29" s="414" t="s">
        <v>166</v>
      </c>
      <c r="F29"/>
    </row>
    <row r="30" spans="1:7" ht="14.1" customHeight="1">
      <c r="A30" s="318" t="s">
        <v>186</v>
      </c>
      <c r="B30" s="316">
        <v>2</v>
      </c>
      <c r="C30" s="316">
        <v>1</v>
      </c>
      <c r="D30" s="415">
        <f>D4</f>
        <v>98.5</v>
      </c>
      <c r="E30" s="427">
        <f>B30*C30*D30</f>
        <v>197</v>
      </c>
      <c r="G30" s="5"/>
    </row>
    <row r="31" spans="1:7" ht="14.1" customHeight="1">
      <c r="A31" s="318" t="s">
        <v>168</v>
      </c>
      <c r="B31" s="316">
        <v>2</v>
      </c>
      <c r="C31" s="316">
        <v>1</v>
      </c>
      <c r="D31" s="415">
        <f>D5</f>
        <v>104.5</v>
      </c>
      <c r="E31" s="427">
        <f>B31*C31*D31</f>
        <v>209</v>
      </c>
      <c r="G31" s="5"/>
    </row>
    <row r="32" spans="1:7" ht="14.1" customHeight="1">
      <c r="A32" s="318" t="s">
        <v>174</v>
      </c>
      <c r="B32" s="316">
        <v>2</v>
      </c>
      <c r="C32" s="316">
        <v>2</v>
      </c>
      <c r="D32" s="415">
        <f>D6</f>
        <v>10</v>
      </c>
      <c r="E32" s="427">
        <f>B32*C32*D32</f>
        <v>40</v>
      </c>
      <c r="G32" s="5"/>
    </row>
    <row r="33" spans="1:7" ht="18" customHeight="1">
      <c r="A33" s="416"/>
      <c r="B33" s="316"/>
      <c r="C33" s="316"/>
      <c r="D33" s="415"/>
      <c r="E33" s="432">
        <f>SUM(E30:E32)</f>
        <v>446</v>
      </c>
      <c r="G33" s="5"/>
    </row>
    <row r="34" spans="1:7" ht="14.1" customHeight="1">
      <c r="A34" s="416" t="s">
        <v>187</v>
      </c>
      <c r="B34" s="316"/>
      <c r="C34" s="316"/>
      <c r="D34" s="417"/>
      <c r="E34" s="433"/>
      <c r="G34" s="5"/>
    </row>
    <row r="35" spans="1:7" ht="14.1" customHeight="1">
      <c r="A35" s="29" t="s">
        <v>162</v>
      </c>
      <c r="B35" s="413"/>
      <c r="C35" s="413" t="s">
        <v>164</v>
      </c>
      <c r="D35" s="413" t="s">
        <v>165</v>
      </c>
      <c r="E35" s="414" t="s">
        <v>166</v>
      </c>
      <c r="G35" s="5"/>
    </row>
    <row r="36" spans="1:7" ht="14.1" customHeight="1">
      <c r="A36" s="318" t="s">
        <v>176</v>
      </c>
      <c r="B36" s="316"/>
      <c r="C36" s="316">
        <v>8</v>
      </c>
      <c r="D36" s="415"/>
      <c r="E36" s="788">
        <f>C36*D36</f>
        <v>0</v>
      </c>
      <c r="F36" s="290"/>
      <c r="G36" s="5"/>
    </row>
    <row r="37" spans="1:7" ht="14.1" customHeight="1">
      <c r="A37" s="318" t="s">
        <v>12</v>
      </c>
      <c r="B37" s="316"/>
      <c r="C37" s="316">
        <v>500</v>
      </c>
      <c r="D37" s="415"/>
      <c r="E37" s="788">
        <f t="shared" ref="E37:E44" si="0">C37*D37</f>
        <v>0</v>
      </c>
      <c r="G37" s="5"/>
    </row>
    <row r="38" spans="1:7" ht="14.1" customHeight="1">
      <c r="A38" s="318" t="s">
        <v>191</v>
      </c>
      <c r="B38" s="316"/>
      <c r="C38" s="316">
        <v>4</v>
      </c>
      <c r="D38" s="415">
        <f>12.2</f>
        <v>12.2</v>
      </c>
      <c r="E38" s="788">
        <f t="shared" si="0"/>
        <v>48.8</v>
      </c>
      <c r="G38" s="5"/>
    </row>
    <row r="39" spans="1:7" ht="14.1" customHeight="1">
      <c r="A39" s="418" t="s">
        <v>188</v>
      </c>
      <c r="B39" s="419"/>
      <c r="C39" s="419">
        <v>4</v>
      </c>
      <c r="D39" s="420">
        <f>6.95</f>
        <v>6.95</v>
      </c>
      <c r="E39" s="788">
        <f t="shared" si="0"/>
        <v>27.8</v>
      </c>
      <c r="G39" s="5"/>
    </row>
    <row r="40" spans="1:7" ht="14.1" customHeight="1">
      <c r="A40" s="418" t="s">
        <v>189</v>
      </c>
      <c r="B40" s="419"/>
      <c r="C40" s="419">
        <v>10</v>
      </c>
      <c r="D40" s="420">
        <f>21.2</f>
        <v>21.2</v>
      </c>
      <c r="E40" s="788">
        <f t="shared" si="0"/>
        <v>212</v>
      </c>
      <c r="G40" s="5"/>
    </row>
    <row r="41" spans="1:7" ht="14.1" customHeight="1">
      <c r="A41" s="418" t="s">
        <v>175</v>
      </c>
      <c r="B41" s="419"/>
      <c r="C41" s="419">
        <v>10</v>
      </c>
      <c r="D41" s="420">
        <f>295+18+6+6</f>
        <v>325</v>
      </c>
      <c r="E41" s="788">
        <f t="shared" si="0"/>
        <v>3250</v>
      </c>
      <c r="G41" s="5"/>
    </row>
    <row r="42" spans="1:7" ht="14.1" customHeight="1">
      <c r="A42" s="418" t="s">
        <v>190</v>
      </c>
      <c r="B42" s="419"/>
      <c r="C42" s="419">
        <v>8</v>
      </c>
      <c r="D42" s="420"/>
      <c r="E42" s="788">
        <f t="shared" si="0"/>
        <v>0</v>
      </c>
      <c r="G42" s="5"/>
    </row>
    <row r="43" spans="1:7" ht="13.5" customHeight="1">
      <c r="A43" s="318" t="s">
        <v>13</v>
      </c>
      <c r="B43" s="316"/>
      <c r="C43" s="316">
        <v>30</v>
      </c>
      <c r="D43" s="317"/>
      <c r="E43" s="788">
        <f t="shared" si="0"/>
        <v>0</v>
      </c>
      <c r="G43" s="5"/>
    </row>
    <row r="44" spans="1:7" ht="13.5" customHeight="1">
      <c r="A44" s="318" t="s">
        <v>504</v>
      </c>
      <c r="B44" s="316"/>
      <c r="C44" s="316">
        <v>30</v>
      </c>
      <c r="D44" s="317"/>
      <c r="E44" s="788">
        <f t="shared" si="0"/>
        <v>0</v>
      </c>
      <c r="G44" s="5"/>
    </row>
    <row r="45" spans="1:7" ht="13.5" customHeight="1">
      <c r="A45" s="421"/>
      <c r="B45" s="422"/>
      <c r="C45" s="422"/>
      <c r="D45" s="423"/>
      <c r="E45" s="434">
        <f>SUM(E36:E44)</f>
        <v>3538.6</v>
      </c>
      <c r="G45" s="5"/>
    </row>
    <row r="46" spans="1:7" ht="13.5" customHeight="1">
      <c r="A46" s="421"/>
      <c r="B46" s="422"/>
      <c r="C46" s="422"/>
      <c r="D46" s="423"/>
      <c r="E46" s="434"/>
      <c r="G46" s="5"/>
    </row>
    <row r="47" spans="1:7" ht="30" customHeight="1">
      <c r="A47" s="424" t="s">
        <v>141</v>
      </c>
      <c r="B47" s="425"/>
      <c r="C47" s="425"/>
      <c r="D47" s="320"/>
      <c r="E47" s="426">
        <f>E9+E16+E23+E27+E33+E45+E46</f>
        <v>18617.73</v>
      </c>
      <c r="G47" s="5"/>
    </row>
    <row r="48" spans="1:7" ht="18.75" customHeight="1">
      <c r="A48" s="12"/>
      <c r="B48" s="12"/>
      <c r="C48" s="12"/>
      <c r="D48" s="12"/>
      <c r="E48" s="12"/>
      <c r="G48" s="5"/>
    </row>
    <row r="49" spans="1:7" ht="18.75" customHeight="1">
      <c r="A49" s="12"/>
      <c r="B49" s="12"/>
      <c r="C49" s="12"/>
      <c r="D49" s="12"/>
      <c r="E49" s="12"/>
      <c r="G49" s="5"/>
    </row>
    <row r="50" spans="1:7" ht="18.75" customHeight="1">
      <c r="A50" s="12"/>
      <c r="B50" s="12"/>
      <c r="C50" s="12"/>
      <c r="D50" s="12"/>
      <c r="E50" s="12"/>
      <c r="G50" s="5"/>
    </row>
    <row r="51" spans="1:7" ht="18.75" customHeight="1">
      <c r="A51" s="12"/>
      <c r="B51" s="12"/>
      <c r="C51" s="12"/>
      <c r="D51" s="12"/>
      <c r="E51" s="12"/>
      <c r="G51" s="5"/>
    </row>
    <row r="52" spans="1:7" ht="18.75" customHeight="1">
      <c r="A52" s="12"/>
      <c r="B52" s="12"/>
      <c r="C52" s="12"/>
      <c r="D52" s="12"/>
      <c r="E52" s="12"/>
      <c r="G52" s="5"/>
    </row>
    <row r="53" spans="1:7" ht="18.75" customHeight="1">
      <c r="A53" s="12"/>
      <c r="B53" s="12"/>
      <c r="C53" s="12"/>
      <c r="D53" s="12"/>
      <c r="E53" s="12"/>
      <c r="G53" s="5"/>
    </row>
    <row r="54" spans="1:7" ht="18.75" customHeight="1">
      <c r="A54" s="12"/>
      <c r="B54" s="12"/>
      <c r="C54" s="12"/>
      <c r="D54" s="12"/>
      <c r="E54" s="12"/>
      <c r="G54" s="5"/>
    </row>
    <row r="55" spans="1:7" ht="18.75" customHeight="1">
      <c r="A55" s="12"/>
      <c r="B55" s="12"/>
      <c r="C55" s="12"/>
      <c r="D55" s="12"/>
      <c r="E55" s="12"/>
      <c r="G55" s="5"/>
    </row>
    <row r="56" spans="1:7" ht="18.75" customHeight="1">
      <c r="A56" s="12"/>
      <c r="B56" s="12"/>
      <c r="C56" s="12"/>
      <c r="D56" s="12"/>
      <c r="E56" s="12"/>
      <c r="G56" s="5"/>
    </row>
    <row r="57" spans="1:7" ht="18.75" customHeight="1">
      <c r="A57" s="12"/>
      <c r="B57" s="12"/>
      <c r="C57" s="12"/>
      <c r="D57" s="12"/>
      <c r="E57" s="12"/>
      <c r="G57" s="5"/>
    </row>
    <row r="58" spans="1:7" ht="18.75" customHeight="1">
      <c r="A58" s="12"/>
      <c r="B58" s="12"/>
      <c r="C58" s="12"/>
      <c r="D58" s="12"/>
      <c r="E58" s="12"/>
      <c r="G58" s="5"/>
    </row>
    <row r="59" spans="1:7" ht="18.75" customHeight="1">
      <c r="A59" s="12"/>
      <c r="B59" s="12"/>
      <c r="C59" s="12"/>
      <c r="D59" s="12"/>
      <c r="E59" s="12"/>
      <c r="G59" s="12"/>
    </row>
    <row r="60" spans="1:7" ht="18.75" customHeight="1">
      <c r="A60" s="12"/>
      <c r="B60" s="12"/>
      <c r="C60" s="12"/>
      <c r="D60" s="12"/>
      <c r="E60" s="12"/>
      <c r="G60" s="12"/>
    </row>
    <row r="61" spans="1:7" ht="18.75" customHeight="1">
      <c r="A61" s="12"/>
      <c r="B61" s="12"/>
      <c r="C61" s="12"/>
      <c r="D61" s="12"/>
      <c r="E61" s="12"/>
      <c r="G61" s="12"/>
    </row>
    <row r="62" spans="1:7" ht="18.75" customHeight="1">
      <c r="A62" s="12"/>
      <c r="B62" s="12"/>
      <c r="C62" s="12"/>
      <c r="D62" s="12"/>
      <c r="E62" s="12"/>
      <c r="G62" s="12"/>
    </row>
    <row r="63" spans="1:7" ht="18.75" customHeight="1">
      <c r="A63" s="12"/>
      <c r="B63" s="12"/>
      <c r="C63" s="12"/>
      <c r="D63" s="12"/>
      <c r="E63" s="12"/>
      <c r="G63" s="12"/>
    </row>
    <row r="64" spans="1:7" ht="18.75" customHeight="1">
      <c r="A64" s="12"/>
      <c r="B64" s="12"/>
      <c r="C64" s="12"/>
      <c r="D64" s="12"/>
      <c r="E64" s="12"/>
      <c r="G64" s="12"/>
    </row>
    <row r="65" spans="1:7" ht="18.75" customHeight="1">
      <c r="A65" s="12"/>
      <c r="B65" s="12"/>
      <c r="C65" s="12"/>
      <c r="D65" s="12"/>
      <c r="E65" s="12"/>
      <c r="G65" s="12"/>
    </row>
    <row r="66" spans="1:7" ht="18.75" customHeight="1">
      <c r="A66" s="12"/>
      <c r="B66" s="12"/>
      <c r="C66" s="12"/>
      <c r="D66" s="12"/>
      <c r="E66" s="12"/>
      <c r="G66" s="12"/>
    </row>
    <row r="67" spans="1:7" ht="18.75" customHeight="1">
      <c r="A67" s="12"/>
      <c r="B67" s="12"/>
      <c r="C67" s="12"/>
      <c r="D67" s="12"/>
      <c r="E67" s="12"/>
      <c r="G67" s="12"/>
    </row>
    <row r="68" spans="1:7" ht="18.75" customHeight="1">
      <c r="A68" s="12"/>
      <c r="B68" s="12"/>
      <c r="C68" s="12"/>
      <c r="D68" s="12"/>
      <c r="E68" s="12"/>
      <c r="G68" s="12"/>
    </row>
    <row r="69" spans="1:7" ht="18.75" customHeight="1">
      <c r="A69" s="12"/>
      <c r="B69" s="12"/>
      <c r="C69" s="12"/>
      <c r="D69" s="12"/>
      <c r="E69" s="12"/>
      <c r="G69" s="12"/>
    </row>
    <row r="70" spans="1:7" ht="18.75" customHeight="1">
      <c r="A70" s="12"/>
      <c r="B70" s="12"/>
      <c r="C70" s="12"/>
      <c r="D70" s="12"/>
      <c r="E70" s="12"/>
      <c r="G70" s="12"/>
    </row>
    <row r="71" spans="1:7" ht="18.75" customHeight="1">
      <c r="A71" s="12"/>
      <c r="B71" s="12"/>
      <c r="C71" s="12"/>
      <c r="D71" s="12"/>
      <c r="E71" s="12"/>
      <c r="G71" s="12"/>
    </row>
    <row r="72" spans="1:7" ht="18.75" customHeight="1">
      <c r="A72" s="12"/>
      <c r="B72" s="12"/>
      <c r="C72" s="12"/>
      <c r="D72" s="12"/>
      <c r="E72" s="12"/>
      <c r="G72" s="12"/>
    </row>
    <row r="73" spans="1:7" ht="18.75" customHeight="1">
      <c r="A73" s="12"/>
      <c r="B73" s="12"/>
      <c r="C73" s="12"/>
      <c r="D73" s="12"/>
      <c r="E73" s="12"/>
      <c r="G73" s="12"/>
    </row>
    <row r="74" spans="1:7" ht="18.75" customHeight="1">
      <c r="A74" s="12"/>
      <c r="B74" s="12"/>
      <c r="C74" s="12"/>
      <c r="D74" s="12"/>
      <c r="E74" s="12"/>
      <c r="G74" s="12"/>
    </row>
    <row r="75" spans="1:7" ht="18.75" customHeight="1">
      <c r="A75" s="12"/>
      <c r="B75" s="12"/>
      <c r="C75" s="12"/>
      <c r="D75" s="12"/>
      <c r="E75" s="12"/>
      <c r="G75" s="12"/>
    </row>
    <row r="76" spans="1:7" ht="18.75" customHeight="1">
      <c r="A76" s="12"/>
      <c r="B76" s="12"/>
      <c r="C76" s="12"/>
      <c r="D76" s="12"/>
      <c r="E76" s="12"/>
      <c r="G76" s="12"/>
    </row>
    <row r="77" spans="1:7" ht="18.75" customHeight="1">
      <c r="A77" s="12"/>
      <c r="B77" s="12"/>
      <c r="C77" s="12"/>
      <c r="D77" s="12"/>
      <c r="E77" s="12"/>
      <c r="G77" s="12"/>
    </row>
    <row r="78" spans="1:7" ht="18.75" customHeight="1">
      <c r="A78" s="12"/>
      <c r="B78" s="12"/>
      <c r="C78" s="12"/>
      <c r="D78" s="12"/>
      <c r="E78" s="12"/>
      <c r="G78" s="12"/>
    </row>
    <row r="79" spans="1:7" ht="18.75" customHeight="1">
      <c r="A79" s="12"/>
      <c r="B79" s="12"/>
      <c r="C79" s="12"/>
      <c r="D79" s="12"/>
      <c r="E79" s="12"/>
      <c r="G79" s="12"/>
    </row>
    <row r="80" spans="1:7" ht="18.75" customHeight="1">
      <c r="A80" s="12"/>
      <c r="B80" s="12"/>
      <c r="C80" s="12"/>
      <c r="D80" s="12"/>
      <c r="E80" s="12"/>
      <c r="G80" s="12"/>
    </row>
    <row r="81" spans="3:7" ht="18.75" customHeight="1">
      <c r="C81" s="5"/>
      <c r="D81" s="5"/>
      <c r="G81" s="5"/>
    </row>
    <row r="82" spans="3:7" ht="18.75" customHeight="1">
      <c r="C82" s="5"/>
      <c r="D82" s="5"/>
      <c r="G82" s="5"/>
    </row>
    <row r="83" spans="3:7" ht="18.75" customHeight="1">
      <c r="C83" s="5"/>
      <c r="D83" s="5"/>
      <c r="G83" s="5"/>
    </row>
    <row r="84" spans="3:7" ht="18.75" customHeight="1">
      <c r="C84" s="5"/>
      <c r="D84" s="5"/>
      <c r="G84" s="5"/>
    </row>
    <row r="85" spans="3:7" ht="18.75" customHeight="1">
      <c r="C85" s="5"/>
      <c r="D85" s="5"/>
      <c r="G85" s="5"/>
    </row>
    <row r="86" spans="3:7" ht="18.75" customHeight="1">
      <c r="C86" s="5"/>
      <c r="D86" s="5"/>
      <c r="G86" s="5"/>
    </row>
    <row r="87" spans="3:7" ht="18.75" customHeight="1">
      <c r="C87" s="5"/>
      <c r="D87" s="5"/>
      <c r="G87" s="5"/>
    </row>
    <row r="88" spans="3:7" ht="18.75" customHeight="1">
      <c r="C88" s="5"/>
      <c r="D88" s="5"/>
      <c r="G88" s="5"/>
    </row>
    <row r="89" spans="3:7" ht="18.75" customHeight="1">
      <c r="C89" s="5"/>
      <c r="D89" s="5"/>
      <c r="G89" s="5"/>
    </row>
    <row r="90" spans="3:7" ht="18.75" customHeight="1">
      <c r="C90" s="5"/>
      <c r="D90" s="5"/>
      <c r="G90" s="5"/>
    </row>
    <row r="91" spans="3:7" ht="18.75" customHeight="1">
      <c r="C91" s="5"/>
      <c r="D91" s="5"/>
      <c r="G91" s="5"/>
    </row>
    <row r="92" spans="3:7" ht="18.75" customHeight="1">
      <c r="C92" s="5"/>
      <c r="D92" s="5"/>
      <c r="G92" s="5"/>
    </row>
    <row r="93" spans="3:7" ht="18.75" customHeight="1">
      <c r="C93" s="5"/>
      <c r="D93" s="5"/>
      <c r="G93" s="5"/>
    </row>
    <row r="94" spans="3:7" ht="18.75" customHeight="1">
      <c r="C94" s="5"/>
      <c r="D94" s="5"/>
      <c r="G94" s="5"/>
    </row>
    <row r="95" spans="3:7" ht="18.75" customHeight="1">
      <c r="C95" s="5"/>
      <c r="D95" s="5"/>
      <c r="G95" s="5"/>
    </row>
    <row r="96" spans="3:7" ht="18.75" customHeight="1">
      <c r="C96" s="5"/>
      <c r="D96" s="5"/>
      <c r="G96" s="5"/>
    </row>
    <row r="97" spans="3:7" ht="18.75" customHeight="1">
      <c r="C97" s="5"/>
      <c r="D97" s="5"/>
      <c r="G97" s="5"/>
    </row>
    <row r="98" spans="3:7" ht="18.75" customHeight="1">
      <c r="C98" s="5"/>
      <c r="D98" s="5"/>
      <c r="G98" s="5"/>
    </row>
    <row r="99" spans="3:7" ht="18.75" customHeight="1">
      <c r="C99" s="5"/>
      <c r="D99" s="5"/>
      <c r="G99" s="5"/>
    </row>
    <row r="100" spans="3:7" ht="18.75" customHeight="1">
      <c r="C100" s="5"/>
      <c r="D100" s="5"/>
      <c r="G100" s="5"/>
    </row>
    <row r="101" spans="3:7" ht="18.75" customHeight="1">
      <c r="C101" s="5"/>
      <c r="D101" s="5"/>
      <c r="G101" s="5"/>
    </row>
    <row r="102" spans="3:7" ht="18.75" customHeight="1">
      <c r="C102" s="5"/>
      <c r="D102" s="5"/>
      <c r="G102" s="5"/>
    </row>
    <row r="103" spans="3:7" ht="18.75" customHeight="1">
      <c r="C103" s="5"/>
      <c r="D103" s="5"/>
      <c r="G103" s="5"/>
    </row>
    <row r="104" spans="3:7" ht="18.75" customHeight="1">
      <c r="C104" s="5"/>
      <c r="D104" s="5"/>
      <c r="G104" s="5"/>
    </row>
    <row r="105" spans="3:7" ht="18.75" customHeight="1">
      <c r="C105" s="5"/>
      <c r="D105" s="5"/>
      <c r="G105" s="5"/>
    </row>
    <row r="106" spans="3:7" ht="18.75" customHeight="1">
      <c r="C106" s="5"/>
      <c r="D106" s="5"/>
      <c r="G106" s="5"/>
    </row>
    <row r="107" spans="3:7" ht="18.75" customHeight="1">
      <c r="C107" s="5"/>
      <c r="D107" s="5"/>
      <c r="G107" s="5"/>
    </row>
    <row r="108" spans="3:7" ht="18.75" customHeight="1">
      <c r="C108" s="5"/>
      <c r="D108" s="5"/>
      <c r="G108" s="5"/>
    </row>
    <row r="109" spans="3:7" ht="18.75" customHeight="1">
      <c r="C109" s="5"/>
      <c r="D109" s="5"/>
      <c r="G109" s="5"/>
    </row>
    <row r="110" spans="3:7" ht="18.75" customHeight="1">
      <c r="C110" s="5"/>
      <c r="D110" s="5"/>
      <c r="G110" s="5"/>
    </row>
    <row r="111" spans="3:7" ht="18.75" customHeight="1">
      <c r="C111" s="5"/>
      <c r="D111" s="5"/>
      <c r="G111" s="5"/>
    </row>
    <row r="112" spans="3:7" ht="18.75" customHeight="1">
      <c r="C112" s="5"/>
      <c r="D112" s="5"/>
      <c r="G112" s="5"/>
    </row>
    <row r="113" spans="3:7" ht="18.75" customHeight="1">
      <c r="C113" s="5"/>
      <c r="D113" s="5"/>
      <c r="G113" s="5"/>
    </row>
    <row r="114" spans="3:7" ht="18.75" customHeight="1">
      <c r="C114" s="5"/>
      <c r="D114" s="5"/>
      <c r="G114" s="5"/>
    </row>
    <row r="115" spans="3:7" ht="18.75" customHeight="1">
      <c r="C115" s="5"/>
      <c r="D115" s="5"/>
      <c r="G115" s="5"/>
    </row>
    <row r="116" spans="3:7" ht="18.75" customHeight="1">
      <c r="C116" s="5"/>
      <c r="D116" s="5"/>
      <c r="G116" s="5"/>
    </row>
    <row r="117" spans="3:7" ht="18.75" customHeight="1">
      <c r="C117" s="5"/>
      <c r="D117" s="5"/>
      <c r="G117" s="5"/>
    </row>
    <row r="118" spans="3:7" ht="18.75" customHeight="1">
      <c r="C118" s="5"/>
      <c r="D118" s="5"/>
      <c r="G118" s="5"/>
    </row>
    <row r="119" spans="3:7" ht="18.75" customHeight="1">
      <c r="C119" s="5"/>
      <c r="D119" s="5"/>
      <c r="G119" s="5"/>
    </row>
    <row r="120" spans="3:7" ht="18.75" customHeight="1">
      <c r="C120" s="5"/>
      <c r="D120" s="5"/>
      <c r="G120" s="5"/>
    </row>
    <row r="121" spans="3:7" ht="18.75" customHeight="1">
      <c r="C121" s="5"/>
      <c r="D121" s="5"/>
      <c r="G121" s="5"/>
    </row>
    <row r="122" spans="3:7" ht="18.75" customHeight="1">
      <c r="C122" s="5"/>
      <c r="D122" s="5"/>
      <c r="G122" s="5"/>
    </row>
    <row r="123" spans="3:7" ht="18.75" customHeight="1">
      <c r="C123" s="5"/>
      <c r="D123" s="5"/>
      <c r="G123" s="5"/>
    </row>
    <row r="124" spans="3:7" ht="18.75" customHeight="1">
      <c r="C124" s="5"/>
      <c r="D124" s="5"/>
      <c r="G124" s="5"/>
    </row>
    <row r="125" spans="3:7" ht="18.75" customHeight="1">
      <c r="C125" s="5"/>
      <c r="D125" s="5"/>
      <c r="G125" s="5"/>
    </row>
    <row r="126" spans="3:7" ht="18.75" customHeight="1">
      <c r="C126" s="5"/>
      <c r="D126" s="5"/>
      <c r="G126" s="5"/>
    </row>
    <row r="127" spans="3:7" ht="18.75" customHeight="1">
      <c r="C127" s="5"/>
      <c r="D127" s="5"/>
      <c r="G127" s="5"/>
    </row>
    <row r="128" spans="3:7" ht="18.75" customHeight="1">
      <c r="C128" s="5"/>
      <c r="D128" s="5"/>
      <c r="G128" s="5"/>
    </row>
    <row r="129" spans="3:7" ht="18.75" customHeight="1">
      <c r="C129" s="5"/>
      <c r="D129" s="5"/>
      <c r="G129" s="5"/>
    </row>
    <row r="130" spans="3:7" ht="18.75" customHeight="1">
      <c r="C130" s="5"/>
      <c r="D130" s="5"/>
      <c r="G130" s="5"/>
    </row>
    <row r="131" spans="3:7" ht="18.75" customHeight="1">
      <c r="C131" s="5"/>
      <c r="D131" s="5"/>
      <c r="G131" s="5"/>
    </row>
    <row r="132" spans="3:7" ht="18.75" customHeight="1">
      <c r="C132" s="5"/>
      <c r="D132" s="5"/>
      <c r="G132" s="5"/>
    </row>
    <row r="133" spans="3:7" ht="18.75" customHeight="1">
      <c r="C133" s="5"/>
      <c r="D133" s="5"/>
      <c r="G133" s="5"/>
    </row>
    <row r="134" spans="3:7" ht="18.75" customHeight="1">
      <c r="C134" s="5"/>
      <c r="D134" s="5"/>
      <c r="G134" s="5"/>
    </row>
    <row r="135" spans="3:7" ht="18.75" customHeight="1">
      <c r="C135" s="5"/>
      <c r="D135" s="5"/>
      <c r="G135" s="5"/>
    </row>
    <row r="136" spans="3:7" ht="18.75" customHeight="1">
      <c r="C136" s="5"/>
      <c r="D136" s="5"/>
      <c r="G136" s="5"/>
    </row>
    <row r="137" spans="3:7" ht="18.75" customHeight="1">
      <c r="C137" s="5"/>
      <c r="D137" s="5"/>
      <c r="G137" s="5"/>
    </row>
    <row r="138" spans="3:7" ht="18.75" customHeight="1">
      <c r="C138" s="5"/>
      <c r="D138" s="5"/>
      <c r="G138" s="5"/>
    </row>
    <row r="139" spans="3:7" ht="18.75" customHeight="1">
      <c r="C139" s="5"/>
      <c r="D139" s="5"/>
      <c r="G139" s="5"/>
    </row>
    <row r="140" spans="3:7" ht="18.75" customHeight="1">
      <c r="C140" s="5"/>
      <c r="D140" s="5"/>
      <c r="G140" s="5"/>
    </row>
    <row r="141" spans="3:7" ht="18.75" customHeight="1">
      <c r="C141" s="5"/>
      <c r="D141" s="5"/>
      <c r="G141" s="5"/>
    </row>
    <row r="142" spans="3:7" ht="18.75" customHeight="1">
      <c r="C142" s="5"/>
      <c r="D142" s="5"/>
      <c r="G142" s="5"/>
    </row>
    <row r="143" spans="3:7" ht="18.75" customHeight="1">
      <c r="C143" s="5"/>
      <c r="D143" s="5"/>
      <c r="G143" s="5"/>
    </row>
    <row r="144" spans="3:7" ht="18.75" customHeight="1">
      <c r="C144" s="5"/>
      <c r="D144" s="5"/>
      <c r="G144" s="5"/>
    </row>
    <row r="145" spans="3:7" ht="18.75" customHeight="1">
      <c r="C145" s="5"/>
      <c r="D145" s="5"/>
      <c r="G145" s="5"/>
    </row>
    <row r="146" spans="3:7" ht="18.75" customHeight="1">
      <c r="C146" s="5"/>
      <c r="D146" s="5"/>
      <c r="G146" s="5"/>
    </row>
    <row r="147" spans="3:7" ht="18.75" customHeight="1">
      <c r="C147" s="5"/>
      <c r="D147" s="5"/>
      <c r="G147" s="5"/>
    </row>
    <row r="148" spans="3:7" ht="18.75" customHeight="1">
      <c r="C148" s="5"/>
      <c r="D148" s="5"/>
      <c r="G148" s="5"/>
    </row>
    <row r="149" spans="3:7" ht="18.75" customHeight="1">
      <c r="C149" s="5"/>
      <c r="D149" s="5"/>
      <c r="G149" s="5"/>
    </row>
    <row r="150" spans="3:7" ht="18.75" customHeight="1">
      <c r="C150" s="5"/>
      <c r="D150" s="5"/>
      <c r="G150" s="5"/>
    </row>
    <row r="151" spans="3:7" ht="18.75" customHeight="1">
      <c r="C151" s="5"/>
      <c r="D151" s="5"/>
      <c r="G151" s="5"/>
    </row>
    <row r="152" spans="3:7" ht="18.75" customHeight="1">
      <c r="C152" s="5"/>
      <c r="D152" s="5"/>
      <c r="G152" s="5"/>
    </row>
    <row r="153" spans="3:7" ht="18.75" customHeight="1">
      <c r="C153" s="5"/>
      <c r="D153" s="5"/>
      <c r="G153" s="5"/>
    </row>
    <row r="154" spans="3:7" ht="18.75" customHeight="1">
      <c r="C154" s="5"/>
      <c r="D154" s="5"/>
      <c r="G154" s="5"/>
    </row>
    <row r="155" spans="3:7" ht="18.75" customHeight="1">
      <c r="C155" s="5"/>
      <c r="D155" s="5"/>
      <c r="G155" s="5"/>
    </row>
    <row r="156" spans="3:7" ht="18.75" customHeight="1">
      <c r="C156" s="5"/>
      <c r="D156" s="5"/>
      <c r="G156" s="5"/>
    </row>
    <row r="157" spans="3:7" ht="18.75" customHeight="1">
      <c r="C157" s="5"/>
      <c r="D157" s="5"/>
      <c r="G157" s="5"/>
    </row>
    <row r="158" spans="3:7" ht="18.75" customHeight="1">
      <c r="C158" s="5"/>
      <c r="D158" s="5"/>
      <c r="G158" s="5"/>
    </row>
    <row r="159" spans="3:7" ht="18.75" customHeight="1">
      <c r="C159" s="5"/>
      <c r="D159" s="5"/>
      <c r="G159" s="5"/>
    </row>
    <row r="160" spans="3:7" ht="18.75" customHeight="1">
      <c r="C160" s="5"/>
      <c r="D160" s="5"/>
      <c r="G160" s="5"/>
    </row>
    <row r="161" spans="3:7" ht="18.75" customHeight="1">
      <c r="C161" s="5"/>
      <c r="D161" s="5"/>
      <c r="G161" s="5"/>
    </row>
    <row r="162" spans="3:7" ht="18.75" customHeight="1">
      <c r="C162" s="5"/>
      <c r="D162" s="5"/>
      <c r="G162" s="5"/>
    </row>
    <row r="163" spans="3:7" ht="18.75" customHeight="1">
      <c r="C163" s="5"/>
      <c r="D163" s="5"/>
      <c r="G163" s="5"/>
    </row>
    <row r="164" spans="3:7" ht="18.75" customHeight="1">
      <c r="C164" s="5"/>
      <c r="D164" s="5"/>
      <c r="G164" s="5"/>
    </row>
    <row r="165" spans="3:7" ht="18.75" customHeight="1">
      <c r="C165" s="5"/>
      <c r="D165" s="5"/>
      <c r="G165" s="5"/>
    </row>
    <row r="166" spans="3:7" ht="18.75" customHeight="1">
      <c r="C166" s="5"/>
      <c r="D166" s="5"/>
      <c r="G166" s="5"/>
    </row>
    <row r="167" spans="3:7" ht="18.75" customHeight="1">
      <c r="C167" s="5"/>
      <c r="D167" s="5"/>
      <c r="G167" s="5"/>
    </row>
    <row r="168" spans="3:7" ht="18.75" customHeight="1">
      <c r="C168" s="5"/>
      <c r="D168" s="5"/>
      <c r="G168" s="5"/>
    </row>
    <row r="169" spans="3:7" ht="18.75" customHeight="1">
      <c r="C169" s="5"/>
      <c r="D169" s="5"/>
      <c r="G169" s="5"/>
    </row>
    <row r="170" spans="3:7" ht="18.75" customHeight="1">
      <c r="C170" s="5"/>
      <c r="D170" s="5"/>
      <c r="G170" s="5"/>
    </row>
    <row r="171" spans="3:7" ht="18.75" customHeight="1">
      <c r="C171" s="5"/>
      <c r="D171" s="5"/>
      <c r="G171" s="5"/>
    </row>
    <row r="172" spans="3:7" ht="18.75" customHeight="1">
      <c r="C172" s="5"/>
      <c r="D172" s="5"/>
      <c r="G172" s="5"/>
    </row>
    <row r="173" spans="3:7" ht="18.75" customHeight="1">
      <c r="C173" s="5"/>
      <c r="D173" s="5"/>
      <c r="G173" s="5"/>
    </row>
    <row r="174" spans="3:7" ht="18.75" customHeight="1">
      <c r="C174" s="5"/>
      <c r="D174" s="5"/>
      <c r="G174" s="5"/>
    </row>
    <row r="175" spans="3:7" ht="18.75" customHeight="1">
      <c r="C175" s="5"/>
      <c r="D175" s="5"/>
      <c r="G175" s="5"/>
    </row>
    <row r="176" spans="3:7" ht="18.75" customHeight="1">
      <c r="C176" s="5"/>
      <c r="D176" s="5"/>
      <c r="G176" s="5"/>
    </row>
    <row r="177" spans="3:7" ht="18.75" customHeight="1">
      <c r="C177" s="5"/>
      <c r="D177" s="5"/>
      <c r="G177" s="5"/>
    </row>
    <row r="178" spans="3:7" ht="18.75" customHeight="1">
      <c r="C178" s="5"/>
      <c r="D178" s="5"/>
      <c r="G178" s="5"/>
    </row>
    <row r="179" spans="3:7" ht="18.75" customHeight="1">
      <c r="C179" s="5"/>
      <c r="D179" s="5"/>
      <c r="G179" s="5"/>
    </row>
  </sheetData>
  <mergeCells count="1">
    <mergeCell ref="A1:E1"/>
  </mergeCells>
  <phoneticPr fontId="19" type="noConversion"/>
  <printOptions horizontalCentered="1"/>
  <pageMargins left="0.75" right="0.75" top="0.75" bottom="0.75" header="0.5" footer="0.5"/>
  <pageSetup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24"/>
  <sheetViews>
    <sheetView workbookViewId="0"/>
  </sheetViews>
  <sheetFormatPr defaultRowHeight="16.5"/>
  <cols>
    <col min="1" max="1" width="34.140625" style="121" customWidth="1"/>
    <col min="2" max="2" width="10.7109375" style="121" hidden="1" customWidth="1"/>
    <col min="3" max="4" width="10.7109375" style="121" customWidth="1"/>
    <col min="5" max="6" width="11.28515625" style="121" customWidth="1"/>
    <col min="7" max="16384" width="9.140625" style="121"/>
  </cols>
  <sheetData>
    <row r="1" spans="1:7" ht="22.5" customHeight="1">
      <c r="A1" s="912" t="s">
        <v>64</v>
      </c>
      <c r="B1" s="251"/>
      <c r="C1" s="251"/>
      <c r="D1" s="251"/>
      <c r="E1" s="251"/>
      <c r="F1" s="251"/>
    </row>
    <row r="2" spans="1:7">
      <c r="A2" s="407"/>
      <c r="B2" s="119">
        <v>2010</v>
      </c>
      <c r="C2" s="119">
        <v>2012</v>
      </c>
      <c r="D2" s="119">
        <v>2013</v>
      </c>
      <c r="E2" s="119">
        <v>2014</v>
      </c>
      <c r="F2" s="119">
        <v>2015</v>
      </c>
    </row>
    <row r="3" spans="1:7">
      <c r="A3" s="408"/>
      <c r="B3" s="352"/>
      <c r="C3" s="352"/>
      <c r="D3" s="352"/>
      <c r="E3" s="352"/>
      <c r="F3" s="352"/>
      <c r="G3"/>
    </row>
    <row r="4" spans="1:7">
      <c r="A4" s="335" t="s">
        <v>582</v>
      </c>
      <c r="B4" s="62">
        <v>200</v>
      </c>
      <c r="C4" s="270">
        <v>200</v>
      </c>
      <c r="D4" s="270">
        <v>100</v>
      </c>
      <c r="E4" s="270">
        <v>100</v>
      </c>
      <c r="F4" s="270">
        <v>100</v>
      </c>
      <c r="G4"/>
    </row>
    <row r="5" spans="1:7">
      <c r="A5" s="326" t="s">
        <v>328</v>
      </c>
      <c r="B5" s="270">
        <v>4000</v>
      </c>
      <c r="C5" s="349">
        <v>5000</v>
      </c>
      <c r="D5" s="349">
        <v>5000</v>
      </c>
      <c r="E5" s="349">
        <v>5400</v>
      </c>
      <c r="F5" s="349">
        <f>5400+1800</f>
        <v>7200</v>
      </c>
      <c r="G5"/>
    </row>
    <row r="6" spans="1:7">
      <c r="A6" s="335" t="s">
        <v>583</v>
      </c>
      <c r="B6" s="62">
        <v>1500</v>
      </c>
      <c r="C6" s="270">
        <v>400</v>
      </c>
      <c r="D6" s="270">
        <v>400</v>
      </c>
      <c r="E6" s="270">
        <v>400</v>
      </c>
      <c r="F6" s="270">
        <v>400</v>
      </c>
      <c r="G6"/>
    </row>
    <row r="7" spans="1:7">
      <c r="A7" s="335" t="s">
        <v>584</v>
      </c>
      <c r="B7" s="62">
        <v>600</v>
      </c>
      <c r="C7" s="270">
        <v>300</v>
      </c>
      <c r="D7" s="270">
        <v>300</v>
      </c>
      <c r="E7" s="270">
        <v>300</v>
      </c>
      <c r="F7" s="270">
        <v>350</v>
      </c>
      <c r="G7"/>
    </row>
    <row r="8" spans="1:7">
      <c r="A8" s="40" t="s">
        <v>585</v>
      </c>
      <c r="B8" s="62">
        <v>800</v>
      </c>
      <c r="C8" s="62">
        <v>800</v>
      </c>
      <c r="D8" s="62">
        <v>800</v>
      </c>
      <c r="E8" s="62">
        <f>8*250</f>
        <v>2000</v>
      </c>
      <c r="F8" s="62">
        <v>2000</v>
      </c>
      <c r="G8"/>
    </row>
    <row r="9" spans="1:7">
      <c r="A9" s="335" t="s">
        <v>586</v>
      </c>
      <c r="B9" s="62">
        <v>1000</v>
      </c>
      <c r="C9" s="270">
        <v>500</v>
      </c>
      <c r="D9" s="270">
        <v>500</v>
      </c>
      <c r="E9" s="270">
        <v>500</v>
      </c>
      <c r="F9" s="270">
        <v>600</v>
      </c>
      <c r="G9"/>
    </row>
    <row r="10" spans="1:7">
      <c r="A10" s="40" t="s">
        <v>587</v>
      </c>
      <c r="B10" s="62">
        <v>11000</v>
      </c>
      <c r="C10" s="62">
        <v>12000</v>
      </c>
      <c r="D10" s="62">
        <v>10400</v>
      </c>
      <c r="E10" s="62">
        <f>8*1500</f>
        <v>12000</v>
      </c>
      <c r="F10" s="62">
        <f>1478.25*8</f>
        <v>11826</v>
      </c>
      <c r="G10"/>
    </row>
    <row r="11" spans="1:7">
      <c r="A11" s="335" t="s">
        <v>588</v>
      </c>
      <c r="B11" s="270">
        <v>1200</v>
      </c>
      <c r="C11" s="270">
        <v>2000</v>
      </c>
      <c r="D11" s="270">
        <v>1500</v>
      </c>
      <c r="E11" s="270">
        <v>1500</v>
      </c>
      <c r="F11" s="270">
        <v>1500</v>
      </c>
      <c r="G11"/>
    </row>
    <row r="12" spans="1:7">
      <c r="A12" s="40" t="s">
        <v>589</v>
      </c>
      <c r="B12" s="62">
        <v>11000</v>
      </c>
      <c r="C12" s="62">
        <v>9000</v>
      </c>
      <c r="D12" s="62">
        <v>6800</v>
      </c>
      <c r="E12" s="62">
        <f>8*900</f>
        <v>7200</v>
      </c>
      <c r="F12" s="62">
        <f>930.6*8</f>
        <v>7444.8</v>
      </c>
      <c r="G12"/>
    </row>
    <row r="13" spans="1:7">
      <c r="A13" s="335" t="s">
        <v>590</v>
      </c>
      <c r="B13" s="62">
        <v>400</v>
      </c>
      <c r="C13" s="270">
        <v>225</v>
      </c>
      <c r="D13" s="270">
        <v>200</v>
      </c>
      <c r="E13" s="270">
        <v>200</v>
      </c>
      <c r="F13" s="270">
        <v>100</v>
      </c>
      <c r="G13"/>
    </row>
    <row r="14" spans="1:7">
      <c r="A14" s="335" t="s">
        <v>591</v>
      </c>
      <c r="B14" s="59">
        <v>200</v>
      </c>
      <c r="C14" s="270">
        <v>100</v>
      </c>
      <c r="D14" s="270">
        <v>400</v>
      </c>
      <c r="E14" s="270">
        <f>15*40</f>
        <v>600</v>
      </c>
      <c r="F14" s="270">
        <v>600</v>
      </c>
      <c r="G14"/>
    </row>
    <row r="15" spans="1:7">
      <c r="A15" s="40" t="s">
        <v>592</v>
      </c>
      <c r="B15" s="62">
        <v>250</v>
      </c>
      <c r="C15" s="62">
        <v>500</v>
      </c>
      <c r="D15" s="62">
        <v>500</v>
      </c>
      <c r="E15" s="62">
        <f>15*40.3</f>
        <v>604.5</v>
      </c>
      <c r="F15" s="62">
        <f>40.3*15</f>
        <v>604.5</v>
      </c>
      <c r="G15"/>
    </row>
    <row r="16" spans="1:7">
      <c r="A16" s="335" t="s">
        <v>593</v>
      </c>
      <c r="B16" s="59">
        <v>800</v>
      </c>
      <c r="C16" s="270">
        <v>800</v>
      </c>
      <c r="D16" s="270"/>
      <c r="E16" s="270"/>
      <c r="F16" s="270"/>
      <c r="G16"/>
    </row>
    <row r="17" spans="1:7">
      <c r="A17" s="40" t="s">
        <v>594</v>
      </c>
      <c r="B17" s="62">
        <v>2000</v>
      </c>
      <c r="C17" s="62">
        <v>1000</v>
      </c>
      <c r="D17" s="62">
        <v>2000</v>
      </c>
      <c r="E17" s="62">
        <f>15*101.25</f>
        <v>1518.75</v>
      </c>
      <c r="F17" s="62">
        <f>239*10</f>
        <v>2390</v>
      </c>
      <c r="G17"/>
    </row>
    <row r="18" spans="1:7">
      <c r="A18" s="335" t="s">
        <v>595</v>
      </c>
      <c r="B18" s="59">
        <v>300</v>
      </c>
      <c r="C18" s="270">
        <v>600</v>
      </c>
      <c r="D18" s="270">
        <v>500</v>
      </c>
      <c r="E18" s="270">
        <v>500</v>
      </c>
      <c r="F18" s="270">
        <v>800</v>
      </c>
      <c r="G18"/>
    </row>
    <row r="19" spans="1:7">
      <c r="A19" s="40" t="s">
        <v>596</v>
      </c>
      <c r="B19" s="62">
        <v>2000</v>
      </c>
      <c r="C19" s="62">
        <v>1000</v>
      </c>
      <c r="D19" s="62">
        <v>2000</v>
      </c>
      <c r="E19" s="62">
        <f>15*106.3</f>
        <v>1594.5</v>
      </c>
      <c r="F19" s="62">
        <f>216*10</f>
        <v>2160</v>
      </c>
      <c r="G19"/>
    </row>
    <row r="20" spans="1:7">
      <c r="A20" s="335" t="s">
        <v>597</v>
      </c>
      <c r="B20" s="270">
        <v>200</v>
      </c>
      <c r="C20" s="270">
        <v>550</v>
      </c>
      <c r="D20" s="270">
        <v>500</v>
      </c>
      <c r="E20" s="270">
        <v>500</v>
      </c>
      <c r="F20" s="270">
        <v>500</v>
      </c>
      <c r="G20"/>
    </row>
    <row r="21" spans="1:7">
      <c r="A21" s="340"/>
      <c r="B21" s="346"/>
      <c r="C21" s="364"/>
      <c r="D21" s="364"/>
      <c r="E21" s="364"/>
      <c r="F21" s="364"/>
      <c r="G21"/>
    </row>
    <row r="22" spans="1:7">
      <c r="A22" s="341" t="s">
        <v>204</v>
      </c>
      <c r="B22" s="342">
        <f>SUM(B3:B21)</f>
        <v>37450</v>
      </c>
      <c r="C22" s="409">
        <f>SUM(C3:C21)</f>
        <v>34975</v>
      </c>
      <c r="D22" s="342">
        <f>SUM(D3:D21)</f>
        <v>31900</v>
      </c>
      <c r="E22" s="342">
        <f>SUM(E3:E21)</f>
        <v>34917.75</v>
      </c>
      <c r="F22" s="342">
        <f>SUM(F3:F21)</f>
        <v>38575.300000000003</v>
      </c>
      <c r="G22"/>
    </row>
    <row r="23" spans="1:7" ht="18" customHeight="1"/>
    <row r="24" spans="1:7">
      <c r="A24" s="152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25"/>
  <sheetViews>
    <sheetView workbookViewId="0"/>
  </sheetViews>
  <sheetFormatPr defaultRowHeight="18.75" customHeight="1"/>
  <cols>
    <col min="1" max="1" width="44.42578125" style="107" customWidth="1"/>
    <col min="2" max="2" width="10.5703125" style="27" hidden="1" customWidth="1"/>
    <col min="3" max="4" width="10.5703125" style="27" customWidth="1"/>
    <col min="5" max="6" width="10.85546875" style="27" customWidth="1"/>
    <col min="7" max="16384" width="9.140625" style="27"/>
  </cols>
  <sheetData>
    <row r="1" spans="1:8" s="48" customFormat="1" ht="18.95" customHeight="1">
      <c r="A1" s="251" t="s">
        <v>701</v>
      </c>
      <c r="B1" s="221"/>
      <c r="C1" s="221"/>
      <c r="D1" s="221"/>
      <c r="E1" s="240"/>
      <c r="F1" s="240"/>
      <c r="G1" s="27"/>
      <c r="H1" s="27"/>
    </row>
    <row r="2" spans="1:8" ht="18.95" customHeight="1">
      <c r="A2" s="108"/>
      <c r="B2" s="108"/>
      <c r="C2" s="108"/>
      <c r="D2" s="108"/>
      <c r="E2" s="50"/>
      <c r="F2" s="50"/>
    </row>
    <row r="3" spans="1:8" s="48" customFormat="1" ht="18.95" customHeight="1">
      <c r="A3" s="43" t="s">
        <v>152</v>
      </c>
      <c r="B3" s="43">
        <v>2010</v>
      </c>
      <c r="C3" s="109">
        <v>2012</v>
      </c>
      <c r="D3" s="109">
        <v>2013</v>
      </c>
      <c r="E3" s="109">
        <v>2014</v>
      </c>
      <c r="F3" s="109">
        <v>2015</v>
      </c>
      <c r="G3" s="27"/>
      <c r="H3" s="27"/>
    </row>
    <row r="4" spans="1:8" s="134" customFormat="1" ht="18.95" customHeight="1">
      <c r="A4" s="111"/>
      <c r="B4" s="127"/>
      <c r="C4" s="254"/>
      <c r="D4" s="254"/>
      <c r="E4" s="254"/>
      <c r="F4" s="254"/>
      <c r="G4" s="255"/>
      <c r="H4" s="255"/>
    </row>
    <row r="5" spans="1:8" s="48" customFormat="1" ht="18.95" customHeight="1">
      <c r="A5" s="53" t="s">
        <v>5</v>
      </c>
      <c r="B5" s="59">
        <v>200</v>
      </c>
      <c r="C5" s="343">
        <v>100</v>
      </c>
      <c r="D5" s="343">
        <v>900</v>
      </c>
      <c r="E5" s="343">
        <v>800</v>
      </c>
      <c r="F5" s="343">
        <v>800</v>
      </c>
      <c r="G5" s="27"/>
      <c r="H5" s="27"/>
    </row>
    <row r="6" spans="1:8" ht="18.95" customHeight="1">
      <c r="A6" s="53" t="s">
        <v>180</v>
      </c>
      <c r="B6" s="223">
        <v>125</v>
      </c>
      <c r="C6" s="343">
        <v>150</v>
      </c>
      <c r="D6" s="343">
        <v>100</v>
      </c>
      <c r="E6" s="343">
        <v>0</v>
      </c>
      <c r="F6" s="343">
        <v>0</v>
      </c>
    </row>
    <row r="7" spans="1:8" ht="18.95" customHeight="1">
      <c r="A7" s="269" t="s">
        <v>216</v>
      </c>
      <c r="B7" s="223">
        <v>30</v>
      </c>
      <c r="C7" s="62">
        <v>40</v>
      </c>
      <c r="D7" s="62">
        <v>40</v>
      </c>
      <c r="E7" s="62">
        <v>25</v>
      </c>
      <c r="F7" s="62">
        <v>25</v>
      </c>
    </row>
    <row r="8" spans="1:8" ht="18.95" customHeight="1">
      <c r="A8" s="53" t="s">
        <v>703</v>
      </c>
      <c r="B8" s="59">
        <v>125</v>
      </c>
      <c r="C8" s="344">
        <v>150</v>
      </c>
      <c r="D8" s="344">
        <v>1000</v>
      </c>
      <c r="E8" s="344">
        <v>2500</v>
      </c>
      <c r="F8" s="344">
        <v>2500</v>
      </c>
    </row>
    <row r="9" spans="1:8" ht="18.95" customHeight="1">
      <c r="A9" s="269" t="s">
        <v>624</v>
      </c>
      <c r="B9" s="59">
        <v>1000</v>
      </c>
      <c r="C9" s="62">
        <v>1500</v>
      </c>
      <c r="D9" s="62">
        <v>1344</v>
      </c>
      <c r="E9" s="62">
        <v>0</v>
      </c>
      <c r="F9" s="62">
        <v>0</v>
      </c>
    </row>
    <row r="10" spans="1:8" ht="18.95" customHeight="1">
      <c r="A10" s="269" t="s">
        <v>17</v>
      </c>
      <c r="B10" s="63">
        <v>1000</v>
      </c>
      <c r="C10" s="62">
        <v>800</v>
      </c>
      <c r="D10" s="62">
        <v>2500</v>
      </c>
      <c r="E10" s="62">
        <v>1500</v>
      </c>
      <c r="F10" s="62">
        <v>1500</v>
      </c>
    </row>
    <row r="11" spans="1:8" ht="18.95" customHeight="1">
      <c r="A11" s="269" t="s">
        <v>410</v>
      </c>
      <c r="B11" s="59">
        <v>630</v>
      </c>
      <c r="C11" s="62">
        <v>200</v>
      </c>
      <c r="D11" s="62">
        <v>560</v>
      </c>
      <c r="E11" s="62">
        <v>0</v>
      </c>
      <c r="F11" s="62">
        <v>0</v>
      </c>
    </row>
    <row r="12" spans="1:8" ht="18.95" customHeight="1">
      <c r="A12" s="356" t="s">
        <v>412</v>
      </c>
      <c r="B12" s="332">
        <v>1200</v>
      </c>
      <c r="C12" s="350">
        <v>200</v>
      </c>
      <c r="D12" s="350">
        <v>450</v>
      </c>
      <c r="E12" s="350">
        <v>0</v>
      </c>
      <c r="F12" s="350">
        <v>0</v>
      </c>
    </row>
    <row r="13" spans="1:8" ht="18.95" customHeight="1">
      <c r="A13" s="356" t="s">
        <v>411</v>
      </c>
      <c r="B13" s="332">
        <v>675</v>
      </c>
      <c r="C13" s="350">
        <v>90</v>
      </c>
      <c r="D13" s="350">
        <v>175</v>
      </c>
      <c r="E13" s="350">
        <v>0</v>
      </c>
      <c r="F13" s="350">
        <v>0</v>
      </c>
    </row>
    <row r="14" spans="1:8" ht="18.95" customHeight="1">
      <c r="A14" s="356" t="s">
        <v>548</v>
      </c>
      <c r="B14" s="332"/>
      <c r="C14" s="350">
        <v>0</v>
      </c>
      <c r="D14" s="350">
        <v>1200</v>
      </c>
      <c r="E14" s="350">
        <v>1200</v>
      </c>
      <c r="F14" s="350">
        <v>1800</v>
      </c>
    </row>
    <row r="15" spans="1:8" ht="18.95" customHeight="1">
      <c r="A15" s="356" t="s">
        <v>611</v>
      </c>
      <c r="B15" s="332"/>
      <c r="C15" s="350">
        <v>0</v>
      </c>
      <c r="D15" s="350">
        <v>9327</v>
      </c>
      <c r="E15" s="350">
        <v>10000</v>
      </c>
      <c r="F15" s="350">
        <v>0</v>
      </c>
    </row>
    <row r="16" spans="1:8" ht="18.95" customHeight="1">
      <c r="A16" s="437"/>
      <c r="B16" s="332"/>
      <c r="C16" s="350"/>
      <c r="D16" s="350"/>
      <c r="E16" s="350"/>
      <c r="F16" s="350"/>
    </row>
    <row r="17" spans="1:6" ht="18.95" customHeight="1">
      <c r="A17" s="792" t="s">
        <v>569</v>
      </c>
      <c r="B17" s="364"/>
      <c r="C17" s="345"/>
      <c r="D17" s="345"/>
      <c r="E17" s="345"/>
      <c r="F17" s="345"/>
    </row>
    <row r="18" spans="1:6" ht="18.95" customHeight="1">
      <c r="A18" s="256" t="s">
        <v>150</v>
      </c>
      <c r="B18" s="347">
        <f>SUM(B4:B17)</f>
        <v>4985</v>
      </c>
      <c r="C18" s="347">
        <f>SUM(C4:C17)</f>
        <v>3230</v>
      </c>
      <c r="D18" s="347">
        <f>SUM(D4:D17)</f>
        <v>17596</v>
      </c>
      <c r="E18" s="347">
        <f>SUM(E5:E17)</f>
        <v>16025</v>
      </c>
      <c r="F18" s="347">
        <f>SUM(F5:F17)</f>
        <v>6625</v>
      </c>
    </row>
    <row r="19" spans="1:6" ht="18.75" customHeight="1">
      <c r="A19" s="121"/>
    </row>
    <row r="20" spans="1:6" ht="18.75" customHeight="1">
      <c r="A20" s="121"/>
    </row>
    <row r="22" spans="1:6" ht="18.75" customHeight="1">
      <c r="A22" s="121"/>
    </row>
    <row r="23" spans="1:6" ht="18.75" customHeight="1">
      <c r="A23" s="121"/>
    </row>
    <row r="24" spans="1:6" ht="18.75" customHeight="1">
      <c r="A24" s="121"/>
    </row>
    <row r="25" spans="1:6" ht="18.75" customHeight="1">
      <c r="A25" s="121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8.75" customHeight="1"/>
  <cols>
    <col min="1" max="1" width="32.5703125" style="107" customWidth="1"/>
    <col min="2" max="2" width="10.7109375" style="27" hidden="1" customWidth="1"/>
    <col min="3" max="4" width="10.7109375" style="27" customWidth="1"/>
    <col min="5" max="6" width="11" style="27" customWidth="1"/>
    <col min="7" max="16384" width="9.140625" style="27"/>
  </cols>
  <sheetData>
    <row r="1" spans="1:6" s="48" customFormat="1" ht="18.75" customHeight="1">
      <c r="A1" s="251" t="s">
        <v>704</v>
      </c>
      <c r="B1" s="221"/>
      <c r="C1" s="221"/>
      <c r="D1" s="221"/>
      <c r="E1" s="253"/>
      <c r="F1" s="253"/>
    </row>
    <row r="2" spans="1:6" ht="18.75" customHeight="1">
      <c r="A2" s="108"/>
      <c r="B2" s="108"/>
      <c r="C2" s="108"/>
      <c r="D2" s="108"/>
      <c r="E2" s="51"/>
      <c r="F2" s="51"/>
    </row>
    <row r="3" spans="1:6" s="48" customFormat="1" ht="18.75" customHeight="1">
      <c r="A3" s="43" t="s">
        <v>152</v>
      </c>
      <c r="B3" s="43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134" customFormat="1" ht="18.75" customHeight="1">
      <c r="A4" s="111"/>
      <c r="B4" s="111"/>
      <c r="C4" s="257"/>
      <c r="D4" s="257"/>
      <c r="E4" s="257"/>
      <c r="F4" s="257"/>
    </row>
    <row r="5" spans="1:6" s="48" customFormat="1" ht="18.75" customHeight="1">
      <c r="A5" s="38" t="s">
        <v>225</v>
      </c>
      <c r="B5" s="44">
        <v>400</v>
      </c>
      <c r="C5" s="36">
        <v>400</v>
      </c>
      <c r="D5" s="36">
        <v>400</v>
      </c>
      <c r="E5" s="36">
        <v>400</v>
      </c>
      <c r="F5" s="36">
        <v>400</v>
      </c>
    </row>
    <row r="6" spans="1:6" s="48" customFormat="1" ht="18.75" customHeight="1">
      <c r="A6" s="38" t="s">
        <v>236</v>
      </c>
      <c r="B6" s="44">
        <v>200</v>
      </c>
      <c r="C6" s="36"/>
      <c r="D6" s="36"/>
      <c r="E6" s="36"/>
      <c r="F6" s="36"/>
    </row>
    <row r="7" spans="1:6" s="48" customFormat="1" ht="18.75" customHeight="1">
      <c r="A7" s="310" t="s">
        <v>16</v>
      </c>
      <c r="B7" s="44">
        <v>200</v>
      </c>
      <c r="C7" s="68">
        <v>400</v>
      </c>
      <c r="D7" s="68">
        <v>100</v>
      </c>
      <c r="E7" s="68">
        <v>100</v>
      </c>
      <c r="F7" s="68">
        <v>100</v>
      </c>
    </row>
    <row r="8" spans="1:6" ht="18.75" customHeight="1">
      <c r="A8" s="394"/>
      <c r="B8" s="57"/>
      <c r="C8" s="36"/>
      <c r="D8" s="36"/>
      <c r="E8" s="36"/>
      <c r="F8" s="36"/>
    </row>
    <row r="9" spans="1:6" ht="18.75" customHeight="1" thickBot="1">
      <c r="A9" s="58" t="s">
        <v>569</v>
      </c>
      <c r="B9" s="238"/>
      <c r="C9" s="309"/>
      <c r="D9" s="309"/>
      <c r="E9" s="309"/>
      <c r="F9" s="309"/>
    </row>
    <row r="10" spans="1:6" ht="18.75" customHeight="1" thickTop="1">
      <c r="A10" s="113" t="s">
        <v>150</v>
      </c>
      <c r="B10" s="46">
        <f>SUM(B4:B9)</f>
        <v>800</v>
      </c>
      <c r="C10" s="46">
        <f>SUM(C4:C9)</f>
        <v>800</v>
      </c>
      <c r="D10" s="258">
        <f>SUM(D4:D9)</f>
        <v>500</v>
      </c>
      <c r="E10" s="258">
        <f>SUM(E4:E9)</f>
        <v>500</v>
      </c>
      <c r="F10" s="258">
        <f>SUM(F4:F9)</f>
        <v>500</v>
      </c>
    </row>
    <row r="11" spans="1:6" ht="18.75" customHeight="1">
      <c r="A11" s="121"/>
    </row>
    <row r="12" spans="1:6" s="48" customFormat="1" ht="18.75" customHeight="1">
      <c r="A12" s="121"/>
    </row>
    <row r="13" spans="1:6" ht="18.75" customHeight="1">
      <c r="A13" s="121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46"/>
  <sheetViews>
    <sheetView workbookViewId="0"/>
  </sheetViews>
  <sheetFormatPr defaultRowHeight="18.75" customHeight="1"/>
  <cols>
    <col min="1" max="1" width="30.85546875" style="14" customWidth="1"/>
    <col min="2" max="2" width="11.7109375" style="106" hidden="1" customWidth="1"/>
    <col min="3" max="4" width="11.7109375" style="106" customWidth="1"/>
    <col min="5" max="6" width="11.28515625" style="106" customWidth="1"/>
    <col min="7" max="16384" width="9.140625" style="106"/>
  </cols>
  <sheetData>
    <row r="1" spans="1:16" s="213" customFormat="1" ht="18.75" customHeight="1">
      <c r="A1" s="253" t="s">
        <v>263</v>
      </c>
      <c r="B1" s="221"/>
      <c r="C1" s="221"/>
      <c r="D1" s="221"/>
      <c r="E1" s="240"/>
      <c r="F1" s="240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8.75" customHeight="1">
      <c r="A2" s="108"/>
      <c r="B2" s="108"/>
      <c r="C2" s="108"/>
      <c r="D2" s="108"/>
      <c r="E2" s="50"/>
      <c r="F2" s="50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s="213" customFormat="1" ht="18.75" customHeight="1">
      <c r="A3" s="43" t="s">
        <v>152</v>
      </c>
      <c r="B3" s="43">
        <v>2010</v>
      </c>
      <c r="C3" s="109">
        <v>2012</v>
      </c>
      <c r="D3" s="109">
        <v>2013</v>
      </c>
      <c r="E3" s="109">
        <v>2014</v>
      </c>
      <c r="F3" s="109">
        <v>2015</v>
      </c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s="214" customFormat="1" ht="18.75" customHeight="1">
      <c r="A4" s="324"/>
      <c r="B4" s="324"/>
      <c r="C4" s="348"/>
      <c r="D4" s="348"/>
      <c r="E4" s="348"/>
      <c r="F4" s="348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 ht="18.75" customHeight="1">
      <c r="A5" s="53" t="s">
        <v>625</v>
      </c>
      <c r="B5" s="223">
        <v>21000</v>
      </c>
      <c r="C5" s="59">
        <v>20771</v>
      </c>
      <c r="D5" s="59">
        <v>21000</v>
      </c>
      <c r="E5" s="59">
        <f>18963</f>
        <v>18963</v>
      </c>
      <c r="F5" s="59">
        <v>19600</v>
      </c>
      <c r="G5" s="217"/>
      <c r="H5" s="217"/>
      <c r="I5" s="217"/>
      <c r="J5" s="217"/>
      <c r="K5" s="217"/>
      <c r="L5" s="217"/>
      <c r="M5" s="217"/>
      <c r="N5" s="217"/>
      <c r="O5" s="217"/>
      <c r="P5" s="217"/>
    </row>
    <row r="6" spans="1:16" ht="18.75" customHeight="1">
      <c r="A6" s="490"/>
      <c r="B6" s="224"/>
      <c r="C6" s="332"/>
      <c r="D6" s="332"/>
      <c r="E6" s="332"/>
      <c r="F6" s="332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16" ht="18.75" customHeight="1" thickBot="1">
      <c r="A7" s="490" t="s">
        <v>569</v>
      </c>
      <c r="B7" s="224">
        <v>-1327</v>
      </c>
      <c r="C7" s="332"/>
      <c r="D7" s="332"/>
      <c r="E7" s="332"/>
      <c r="F7" s="332"/>
      <c r="G7" s="217"/>
      <c r="H7" s="217"/>
      <c r="I7" s="217"/>
      <c r="J7" s="217"/>
      <c r="K7" s="217"/>
      <c r="L7" s="217"/>
      <c r="M7" s="217"/>
      <c r="N7" s="217"/>
      <c r="O7" s="217"/>
      <c r="P7" s="217"/>
    </row>
    <row r="8" spans="1:16" ht="18.75" customHeight="1" thickTop="1">
      <c r="A8" s="303" t="s">
        <v>150</v>
      </c>
      <c r="B8" s="491">
        <f t="shared" ref="B8:D8" si="0">SUM(B4:B7)</f>
        <v>19673</v>
      </c>
      <c r="C8" s="64">
        <f t="shared" si="0"/>
        <v>20771</v>
      </c>
      <c r="D8" s="64">
        <f t="shared" si="0"/>
        <v>21000</v>
      </c>
      <c r="E8" s="64">
        <f>SUM(E4:E7)</f>
        <v>18963</v>
      </c>
      <c r="F8" s="64">
        <f>SUM(F4:F7)</f>
        <v>19600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</row>
    <row r="9" spans="1:16" ht="18.75" customHeight="1">
      <c r="A9" s="121"/>
      <c r="B9" s="140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</row>
    <row r="10" spans="1:16" ht="18.75" customHeight="1">
      <c r="A10" s="121"/>
      <c r="B10" s="2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</row>
    <row r="11" spans="1:16" ht="18.75" customHeight="1">
      <c r="A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ht="18.75" customHeight="1">
      <c r="A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18.75" customHeight="1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</row>
    <row r="14" spans="1:16" ht="18.75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</row>
    <row r="15" spans="1:16" ht="18.75" customHeight="1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</row>
    <row r="16" spans="1:16" ht="18.75" customHeight="1">
      <c r="A16" s="217"/>
      <c r="B16" s="217"/>
      <c r="C16" s="217"/>
      <c r="D16" s="217"/>
    </row>
    <row r="17" spans="1:4" ht="18.75" customHeight="1">
      <c r="A17" s="217"/>
      <c r="B17" s="217"/>
      <c r="C17" s="217"/>
      <c r="D17" s="217"/>
    </row>
    <row r="18" spans="1:4" ht="18.75" customHeight="1">
      <c r="A18" s="217"/>
      <c r="B18" s="217"/>
      <c r="C18" s="217"/>
      <c r="D18" s="217"/>
    </row>
    <row r="19" spans="1:4" ht="18.75" customHeight="1">
      <c r="A19" s="217"/>
      <c r="B19" s="217"/>
      <c r="C19" s="217"/>
      <c r="D19" s="217"/>
    </row>
    <row r="20" spans="1:4" ht="18.75" customHeight="1">
      <c r="A20" s="217"/>
      <c r="B20" s="217"/>
      <c r="C20" s="217"/>
      <c r="D20" s="217"/>
    </row>
    <row r="21" spans="1:4" ht="18.75" customHeight="1">
      <c r="A21" s="217"/>
      <c r="B21" s="217"/>
      <c r="C21" s="217"/>
      <c r="D21" s="217"/>
    </row>
    <row r="22" spans="1:4" ht="18.75" customHeight="1">
      <c r="A22" s="217"/>
      <c r="B22" s="217"/>
      <c r="C22" s="217"/>
      <c r="D22" s="217"/>
    </row>
    <row r="23" spans="1:4" ht="18.75" customHeight="1">
      <c r="A23" s="217"/>
      <c r="B23" s="217"/>
      <c r="C23" s="217"/>
      <c r="D23" s="217"/>
    </row>
    <row r="24" spans="1:4" ht="18.75" customHeight="1">
      <c r="A24" s="217"/>
      <c r="B24" s="217"/>
      <c r="C24" s="217"/>
      <c r="D24" s="217"/>
    </row>
    <row r="25" spans="1:4" ht="18.75" customHeight="1">
      <c r="A25" s="217"/>
      <c r="B25" s="217"/>
      <c r="C25" s="217"/>
      <c r="D25" s="217"/>
    </row>
    <row r="26" spans="1:4" ht="18.75" customHeight="1">
      <c r="A26" s="217"/>
      <c r="B26" s="217"/>
      <c r="C26" s="217"/>
      <c r="D26" s="217"/>
    </row>
    <row r="27" spans="1:4" ht="18.75" customHeight="1">
      <c r="A27" s="217"/>
      <c r="B27" s="217"/>
      <c r="C27" s="217"/>
      <c r="D27" s="217"/>
    </row>
    <row r="28" spans="1:4" ht="18.75" customHeight="1">
      <c r="A28" s="217"/>
      <c r="B28" s="217"/>
      <c r="C28" s="217"/>
      <c r="D28" s="217"/>
    </row>
    <row r="29" spans="1:4" ht="18.75" customHeight="1">
      <c r="A29" s="217"/>
      <c r="B29" s="217"/>
      <c r="C29" s="217"/>
      <c r="D29" s="217"/>
    </row>
    <row r="30" spans="1:4" ht="18.75" customHeight="1">
      <c r="A30" s="217"/>
      <c r="B30" s="217"/>
      <c r="C30" s="217"/>
      <c r="D30" s="217"/>
    </row>
    <row r="31" spans="1:4" ht="18.75" customHeight="1">
      <c r="A31" s="217"/>
      <c r="B31" s="217"/>
      <c r="C31" s="217"/>
      <c r="D31" s="217"/>
    </row>
    <row r="32" spans="1:4" ht="18.75" customHeight="1">
      <c r="A32" s="217"/>
      <c r="B32" s="217"/>
      <c r="C32" s="217"/>
      <c r="D32" s="217"/>
    </row>
    <row r="33" spans="1:4" ht="18.75" customHeight="1">
      <c r="A33" s="217"/>
      <c r="B33" s="217"/>
      <c r="C33" s="217"/>
      <c r="D33" s="217"/>
    </row>
    <row r="34" spans="1:4" ht="18.75" customHeight="1">
      <c r="A34" s="217"/>
      <c r="B34" s="217"/>
      <c r="C34" s="217"/>
      <c r="D34" s="217"/>
    </row>
    <row r="35" spans="1:4" ht="18.75" customHeight="1">
      <c r="A35" s="217"/>
      <c r="B35" s="217"/>
      <c r="C35" s="217"/>
      <c r="D35" s="217"/>
    </row>
    <row r="36" spans="1:4" ht="18.75" customHeight="1">
      <c r="A36" s="217"/>
      <c r="B36" s="217"/>
      <c r="C36" s="217"/>
      <c r="D36" s="217"/>
    </row>
    <row r="37" spans="1:4" ht="18.75" customHeight="1">
      <c r="A37" s="217"/>
      <c r="B37" s="217"/>
      <c r="C37" s="217"/>
      <c r="D37" s="217"/>
    </row>
    <row r="38" spans="1:4" ht="18.75" customHeight="1">
      <c r="A38" s="217"/>
      <c r="B38" s="217"/>
      <c r="C38" s="217"/>
      <c r="D38" s="217"/>
    </row>
    <row r="39" spans="1:4" ht="18.75" customHeight="1">
      <c r="A39" s="217"/>
      <c r="B39" s="217"/>
      <c r="C39" s="217"/>
      <c r="D39" s="217"/>
    </row>
    <row r="40" spans="1:4" ht="18.75" customHeight="1">
      <c r="A40" s="217"/>
      <c r="B40" s="217"/>
      <c r="C40" s="217"/>
      <c r="D40" s="217"/>
    </row>
    <row r="41" spans="1:4" ht="18.75" customHeight="1">
      <c r="A41" s="217"/>
      <c r="B41" s="217"/>
      <c r="C41" s="217"/>
      <c r="D41" s="217"/>
    </row>
    <row r="42" spans="1:4" ht="18.75" customHeight="1">
      <c r="A42" s="217"/>
      <c r="B42" s="217"/>
      <c r="C42" s="217"/>
      <c r="D42" s="217"/>
    </row>
    <row r="43" spans="1:4" ht="18.75" customHeight="1">
      <c r="A43" s="217"/>
      <c r="B43" s="217"/>
      <c r="C43" s="217"/>
      <c r="D43" s="217"/>
    </row>
    <row r="44" spans="1:4" ht="18.75" customHeight="1">
      <c r="A44" s="217"/>
      <c r="B44" s="217"/>
      <c r="C44" s="217"/>
      <c r="D44" s="217"/>
    </row>
    <row r="45" spans="1:4" ht="18.75" customHeight="1">
      <c r="A45" s="217"/>
      <c r="B45" s="217"/>
      <c r="C45" s="217"/>
      <c r="D45" s="217"/>
    </row>
    <row r="46" spans="1:4" ht="18.75" customHeight="1">
      <c r="A46" s="217"/>
      <c r="B46" s="217"/>
      <c r="C46" s="217"/>
      <c r="D46" s="2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F32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/>
  <cols>
    <col min="1" max="1" width="41.5703125" style="264" customWidth="1"/>
    <col min="2" max="2" width="11.5703125" style="264" hidden="1" customWidth="1"/>
    <col min="3" max="4" width="10.7109375" style="264" customWidth="1"/>
    <col min="5" max="6" width="12.7109375" style="264" customWidth="1"/>
    <col min="7" max="16384" width="8.85546875" style="264"/>
  </cols>
  <sheetData>
    <row r="1" spans="1:6" s="260" customFormat="1" ht="22.5" customHeight="1">
      <c r="A1" s="259" t="s">
        <v>720</v>
      </c>
      <c r="B1" s="259"/>
      <c r="C1" s="259"/>
      <c r="D1" s="259"/>
      <c r="E1" s="259"/>
      <c r="F1" s="259"/>
    </row>
    <row r="2" spans="1:6" s="262" customFormat="1" ht="34.5" customHeight="1">
      <c r="A2" s="261"/>
      <c r="B2" s="606">
        <v>2010</v>
      </c>
      <c r="C2" s="606">
        <v>2012</v>
      </c>
      <c r="D2" s="606">
        <v>2013</v>
      </c>
      <c r="E2" s="606">
        <v>2014</v>
      </c>
      <c r="F2" s="606">
        <v>2015</v>
      </c>
    </row>
    <row r="3" spans="1:6" s="263" customFormat="1">
      <c r="A3" s="721" t="s">
        <v>152</v>
      </c>
      <c r="B3" s="722"/>
      <c r="C3" s="722"/>
      <c r="D3" s="723"/>
      <c r="E3" s="723"/>
      <c r="F3" s="723"/>
    </row>
    <row r="4" spans="1:6">
      <c r="A4" s="724" t="s">
        <v>254</v>
      </c>
      <c r="B4" s="725">
        <v>300</v>
      </c>
      <c r="C4" s="725">
        <v>250</v>
      </c>
      <c r="D4" s="726">
        <v>275</v>
      </c>
      <c r="E4" s="726">
        <v>600</v>
      </c>
      <c r="F4" s="726" t="s">
        <v>719</v>
      </c>
    </row>
    <row r="5" spans="1:6">
      <c r="A5" s="724" t="s">
        <v>255</v>
      </c>
      <c r="B5" s="725">
        <v>250</v>
      </c>
      <c r="C5" s="725">
        <v>300</v>
      </c>
      <c r="D5" s="726">
        <v>500</v>
      </c>
      <c r="E5" s="726">
        <v>800</v>
      </c>
      <c r="F5" s="726" t="s">
        <v>719</v>
      </c>
    </row>
    <row r="6" spans="1:6">
      <c r="A6" s="724" t="s">
        <v>345</v>
      </c>
      <c r="B6" s="725">
        <v>1000</v>
      </c>
      <c r="C6" s="725">
        <v>2000</v>
      </c>
      <c r="D6" s="726">
        <v>3000</v>
      </c>
      <c r="E6" s="726">
        <v>5000</v>
      </c>
      <c r="F6" s="726">
        <v>4000</v>
      </c>
    </row>
    <row r="7" spans="1:6">
      <c r="A7" s="724" t="s">
        <v>113</v>
      </c>
      <c r="B7" s="725"/>
      <c r="C7" s="725"/>
      <c r="D7" s="726">
        <v>500</v>
      </c>
      <c r="E7" s="726">
        <v>1000</v>
      </c>
      <c r="F7" s="726" t="s">
        <v>713</v>
      </c>
    </row>
    <row r="8" spans="1:6">
      <c r="A8" s="724" t="s">
        <v>114</v>
      </c>
      <c r="B8" s="725">
        <v>1000</v>
      </c>
      <c r="C8" s="725"/>
      <c r="D8" s="726">
        <v>400</v>
      </c>
      <c r="E8" s="726">
        <v>1000</v>
      </c>
      <c r="F8" s="726" t="s">
        <v>713</v>
      </c>
    </row>
    <row r="9" spans="1:6">
      <c r="A9" s="724" t="s">
        <v>344</v>
      </c>
      <c r="B9" s="725">
        <v>1800</v>
      </c>
      <c r="C9" s="725">
        <v>2100</v>
      </c>
      <c r="D9" s="726">
        <v>2400</v>
      </c>
      <c r="E9" s="726">
        <v>2100</v>
      </c>
      <c r="F9" s="728" t="s">
        <v>715</v>
      </c>
    </row>
    <row r="10" spans="1:6">
      <c r="A10" s="724" t="s">
        <v>343</v>
      </c>
      <c r="B10" s="725">
        <v>2440</v>
      </c>
      <c r="C10" s="725">
        <v>450</v>
      </c>
      <c r="D10" s="726">
        <v>450</v>
      </c>
      <c r="E10" s="726">
        <v>700</v>
      </c>
      <c r="F10" s="726" t="s">
        <v>713</v>
      </c>
    </row>
    <row r="11" spans="1:6">
      <c r="A11" s="724" t="s">
        <v>549</v>
      </c>
      <c r="B11" s="725"/>
      <c r="C11" s="725"/>
      <c r="D11" s="726">
        <v>850</v>
      </c>
      <c r="E11" s="726">
        <v>850</v>
      </c>
      <c r="F11" s="726" t="s">
        <v>717</v>
      </c>
    </row>
    <row r="12" spans="1:6">
      <c r="A12" s="724" t="s">
        <v>346</v>
      </c>
      <c r="B12" s="725">
        <v>2040</v>
      </c>
      <c r="C12" s="725">
        <v>350</v>
      </c>
      <c r="D12" s="726"/>
      <c r="E12" s="726">
        <v>1000</v>
      </c>
      <c r="F12" s="726" t="s">
        <v>713</v>
      </c>
    </row>
    <row r="13" spans="1:6">
      <c r="A13" s="724" t="s">
        <v>413</v>
      </c>
      <c r="B13" s="725">
        <v>2280</v>
      </c>
      <c r="C13" s="725">
        <v>350</v>
      </c>
      <c r="D13" s="726"/>
      <c r="E13" s="726">
        <v>1000</v>
      </c>
      <c r="F13" s="726" t="s">
        <v>713</v>
      </c>
    </row>
    <row r="14" spans="1:6">
      <c r="A14" s="724" t="s">
        <v>349</v>
      </c>
      <c r="B14" s="725">
        <v>3200</v>
      </c>
      <c r="C14" s="725">
        <v>1500</v>
      </c>
      <c r="D14" s="726">
        <v>1500</v>
      </c>
      <c r="E14" s="726">
        <v>1200</v>
      </c>
      <c r="F14" s="726" t="s">
        <v>719</v>
      </c>
    </row>
    <row r="15" spans="1:6">
      <c r="A15" s="724" t="s">
        <v>348</v>
      </c>
      <c r="B15" s="725">
        <v>4000</v>
      </c>
      <c r="C15" s="725">
        <v>4000</v>
      </c>
      <c r="D15" s="726">
        <v>4000</v>
      </c>
      <c r="E15" s="726">
        <v>4500</v>
      </c>
      <c r="F15" s="726">
        <v>4500</v>
      </c>
    </row>
    <row r="16" spans="1:6">
      <c r="A16" s="724" t="s">
        <v>350</v>
      </c>
      <c r="B16" s="725">
        <v>1500</v>
      </c>
      <c r="C16" s="725"/>
      <c r="D16" s="726"/>
      <c r="E16" s="726">
        <v>600</v>
      </c>
      <c r="F16" s="726" t="s">
        <v>717</v>
      </c>
    </row>
    <row r="17" spans="1:6">
      <c r="A17" s="724" t="s">
        <v>347</v>
      </c>
      <c r="B17" s="725">
        <v>3000</v>
      </c>
      <c r="C17" s="725">
        <v>3000</v>
      </c>
      <c r="D17" s="726">
        <v>3000</v>
      </c>
      <c r="E17" s="726">
        <f>3000-1235</f>
        <v>1765</v>
      </c>
      <c r="F17" s="726">
        <v>3000</v>
      </c>
    </row>
    <row r="18" spans="1:6">
      <c r="A18" s="724" t="s">
        <v>443</v>
      </c>
      <c r="B18" s="725">
        <v>1400</v>
      </c>
      <c r="C18" s="725">
        <v>4500</v>
      </c>
      <c r="D18" s="726">
        <v>4500</v>
      </c>
      <c r="E18" s="726">
        <v>3000</v>
      </c>
      <c r="F18" s="728" t="s">
        <v>715</v>
      </c>
    </row>
    <row r="19" spans="1:6">
      <c r="A19" s="724" t="s">
        <v>711</v>
      </c>
      <c r="B19" s="725">
        <v>1400</v>
      </c>
      <c r="C19" s="727">
        <v>3000</v>
      </c>
      <c r="D19" s="728">
        <v>3000</v>
      </c>
      <c r="E19" s="728">
        <v>1500</v>
      </c>
      <c r="F19" s="728" t="s">
        <v>715</v>
      </c>
    </row>
    <row r="20" spans="1:6">
      <c r="A20" s="724" t="s">
        <v>444</v>
      </c>
      <c r="B20" s="725"/>
      <c r="C20" s="727">
        <v>3500</v>
      </c>
      <c r="D20" s="728">
        <v>2500</v>
      </c>
      <c r="E20" s="728">
        <v>2500</v>
      </c>
      <c r="F20" s="728" t="s">
        <v>715</v>
      </c>
    </row>
    <row r="21" spans="1:6">
      <c r="A21" s="724" t="s">
        <v>445</v>
      </c>
      <c r="B21" s="725"/>
      <c r="C21" s="727">
        <v>6000</v>
      </c>
      <c r="D21" s="728">
        <v>4000</v>
      </c>
      <c r="E21" s="728">
        <v>4000</v>
      </c>
      <c r="F21" s="728" t="s">
        <v>715</v>
      </c>
    </row>
    <row r="22" spans="1:6">
      <c r="A22" s="724" t="s">
        <v>446</v>
      </c>
      <c r="B22" s="729"/>
      <c r="C22" s="725">
        <v>6000</v>
      </c>
      <c r="D22" s="726">
        <v>4500</v>
      </c>
      <c r="E22" s="726">
        <v>3000</v>
      </c>
      <c r="F22" s="728">
        <v>2500</v>
      </c>
    </row>
    <row r="23" spans="1:6">
      <c r="A23" s="793" t="s">
        <v>712</v>
      </c>
      <c r="B23" s="731"/>
      <c r="C23" s="725">
        <v>1456</v>
      </c>
      <c r="D23" s="726">
        <v>900</v>
      </c>
      <c r="E23" s="726">
        <v>1500</v>
      </c>
      <c r="F23" s="726">
        <v>1500</v>
      </c>
    </row>
    <row r="24" spans="1:6">
      <c r="A24" s="793" t="s">
        <v>603</v>
      </c>
      <c r="B24" s="725"/>
      <c r="C24" s="725"/>
      <c r="D24" s="726"/>
      <c r="E24" s="726">
        <v>3000</v>
      </c>
      <c r="F24" s="726">
        <v>20000</v>
      </c>
    </row>
    <row r="25" spans="1:6">
      <c r="A25" s="793" t="s">
        <v>710</v>
      </c>
      <c r="B25" s="725"/>
      <c r="C25" s="725"/>
      <c r="D25" s="726"/>
      <c r="E25" s="726"/>
      <c r="F25" s="726">
        <v>4700</v>
      </c>
    </row>
    <row r="26" spans="1:6">
      <c r="A26" s="793" t="s">
        <v>714</v>
      </c>
      <c r="B26" s="725"/>
      <c r="C26" s="725"/>
      <c r="D26" s="726"/>
      <c r="E26" s="726"/>
      <c r="F26" s="726">
        <v>13100</v>
      </c>
    </row>
    <row r="27" spans="1:6">
      <c r="A27" s="793" t="s">
        <v>716</v>
      </c>
      <c r="B27" s="725"/>
      <c r="C27" s="725"/>
      <c r="D27" s="726"/>
      <c r="E27" s="726"/>
      <c r="F27" s="726">
        <v>1450</v>
      </c>
    </row>
    <row r="28" spans="1:6">
      <c r="A28" s="793" t="s">
        <v>718</v>
      </c>
      <c r="B28" s="725"/>
      <c r="C28" s="725"/>
      <c r="D28" s="726"/>
      <c r="E28" s="726"/>
      <c r="F28" s="726">
        <v>3900</v>
      </c>
    </row>
    <row r="29" spans="1:6">
      <c r="A29" s="730"/>
      <c r="B29" s="725"/>
      <c r="C29" s="725"/>
      <c r="D29" s="726"/>
      <c r="E29" s="726"/>
      <c r="F29" s="726"/>
    </row>
    <row r="30" spans="1:6">
      <c r="A30" s="730" t="s">
        <v>569</v>
      </c>
      <c r="B30" s="725">
        <v>-22000</v>
      </c>
      <c r="C30" s="731">
        <v>-13450</v>
      </c>
      <c r="D30" s="726"/>
      <c r="E30" s="726"/>
      <c r="F30" s="726"/>
    </row>
    <row r="31" spans="1:6" ht="17.25" thickBot="1">
      <c r="A31" s="742" t="s">
        <v>150</v>
      </c>
      <c r="B31" s="743">
        <f>SUM(B4:B30)</f>
        <v>3610</v>
      </c>
      <c r="C31" s="743">
        <f>SUM(C4:C30)</f>
        <v>25306</v>
      </c>
      <c r="D31" s="743">
        <f>SUM(D4:D30)</f>
        <v>36275</v>
      </c>
      <c r="E31" s="743">
        <f>SUM(E4:E30)</f>
        <v>40615</v>
      </c>
      <c r="F31" s="743">
        <f>SUM(F4:F30)</f>
        <v>58650</v>
      </c>
    </row>
    <row r="32" spans="1:6" ht="17.25" thickTop="1"/>
  </sheetData>
  <sortState ref="A30:E48">
    <sortCondition ref="A30:A48"/>
  </sortState>
  <phoneticPr fontId="19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pane ySplit="3" topLeftCell="A4" activePane="bottomLeft" state="frozen"/>
      <selection pane="bottomLeft"/>
    </sheetView>
  </sheetViews>
  <sheetFormatPr defaultColWidth="11.140625" defaultRowHeight="18.75" customHeight="1"/>
  <cols>
    <col min="1" max="1" width="6.5703125" style="107" customWidth="1"/>
    <col min="2" max="2" width="24.85546875" style="66" customWidth="1"/>
    <col min="3" max="3" width="12" style="26" hidden="1" customWidth="1"/>
    <col min="4" max="7" width="12" style="26" customWidth="1"/>
    <col min="8" max="8" width="11.28515625" style="26" bestFit="1" customWidth="1"/>
    <col min="9" max="9" width="11.140625" style="26"/>
    <col min="10" max="10" width="12.85546875" style="26" bestFit="1" customWidth="1"/>
    <col min="11" max="16384" width="11.140625" style="26"/>
  </cols>
  <sheetData>
    <row r="1" spans="1:10" s="103" customFormat="1" ht="18.75" customHeight="1">
      <c r="A1" s="769"/>
      <c r="B1" s="770" t="s">
        <v>628</v>
      </c>
      <c r="C1" s="770" t="s">
        <v>554</v>
      </c>
      <c r="D1" s="770" t="s">
        <v>555</v>
      </c>
      <c r="E1" s="770" t="s">
        <v>556</v>
      </c>
      <c r="F1" s="770" t="s">
        <v>53</v>
      </c>
      <c r="G1" s="770" t="s">
        <v>53</v>
      </c>
    </row>
    <row r="2" spans="1:10" ht="51" customHeight="1">
      <c r="A2" s="147"/>
      <c r="B2" s="450"/>
      <c r="C2" s="383" t="s">
        <v>515</v>
      </c>
      <c r="D2" s="383"/>
      <c r="E2" s="322"/>
      <c r="F2" s="322" t="s">
        <v>640</v>
      </c>
      <c r="G2" s="322" t="s">
        <v>676</v>
      </c>
    </row>
    <row r="3" spans="1:10" s="103" customFormat="1" ht="18.75" customHeight="1">
      <c r="A3" s="448"/>
      <c r="B3" s="451" t="s">
        <v>152</v>
      </c>
      <c r="C3" s="304">
        <v>2010</v>
      </c>
      <c r="D3" s="304">
        <v>2012</v>
      </c>
      <c r="E3" s="771">
        <v>2013</v>
      </c>
      <c r="F3" s="771">
        <v>2014</v>
      </c>
      <c r="G3" s="771">
        <v>2015</v>
      </c>
    </row>
    <row r="4" spans="1:10" s="305" customFormat="1" ht="24.95" customHeight="1">
      <c r="A4" s="382">
        <v>407</v>
      </c>
      <c r="B4" s="452" t="s">
        <v>52</v>
      </c>
      <c r="C4" s="631">
        <v>6797.47</v>
      </c>
      <c r="D4" s="514">
        <v>7000</v>
      </c>
      <c r="E4" s="772">
        <v>7500</v>
      </c>
      <c r="F4" s="776">
        <v>15200</v>
      </c>
      <c r="G4" s="776">
        <v>11100</v>
      </c>
      <c r="H4" s="859"/>
    </row>
    <row r="5" spans="1:10" s="103" customFormat="1" ht="31.5" customHeight="1">
      <c r="A5" s="382" t="s">
        <v>103</v>
      </c>
      <c r="B5" s="453" t="s">
        <v>387</v>
      </c>
      <c r="C5" s="632">
        <v>2079268.31</v>
      </c>
      <c r="D5" s="633">
        <v>1981361</v>
      </c>
      <c r="E5" s="773">
        <v>2024884</v>
      </c>
      <c r="F5" s="777">
        <v>2073137</v>
      </c>
      <c r="G5" s="777">
        <v>2140914</v>
      </c>
      <c r="H5" s="925">
        <f>G5+G6+G7</f>
        <v>2140914</v>
      </c>
    </row>
    <row r="6" spans="1:10" s="103" customFormat="1" ht="24.95" customHeight="1">
      <c r="A6" s="382" t="s">
        <v>104</v>
      </c>
      <c r="B6" s="452" t="s">
        <v>106</v>
      </c>
      <c r="C6" s="634">
        <v>17084.2</v>
      </c>
      <c r="D6" s="634">
        <v>16416</v>
      </c>
      <c r="E6" s="774">
        <v>10175</v>
      </c>
      <c r="F6" s="778"/>
      <c r="G6" s="778"/>
      <c r="H6" s="926"/>
    </row>
    <row r="7" spans="1:10" s="103" customFormat="1" ht="24.95" customHeight="1">
      <c r="A7" s="382" t="s">
        <v>105</v>
      </c>
      <c r="B7" s="452" t="s">
        <v>96</v>
      </c>
      <c r="C7" s="514">
        <v>384.14</v>
      </c>
      <c r="D7" s="514">
        <v>536.07000000000005</v>
      </c>
      <c r="E7" s="775"/>
      <c r="F7" s="779"/>
      <c r="G7" s="779"/>
      <c r="H7" s="927"/>
    </row>
    <row r="8" spans="1:10" s="103" customFormat="1" ht="24.95" customHeight="1">
      <c r="A8" s="382">
        <v>415</v>
      </c>
      <c r="B8" s="452" t="s">
        <v>107</v>
      </c>
      <c r="C8" s="635">
        <v>1593158.56</v>
      </c>
      <c r="D8" s="631">
        <v>1605360.68</v>
      </c>
      <c r="E8" s="776">
        <v>1644578</v>
      </c>
      <c r="F8" s="776">
        <v>1685692</v>
      </c>
      <c r="G8" s="776">
        <v>2187099</v>
      </c>
      <c r="H8" s="860"/>
      <c r="J8" s="905"/>
    </row>
    <row r="9" spans="1:10" s="103" customFormat="1" ht="24.95" customHeight="1">
      <c r="A9" s="382">
        <v>435</v>
      </c>
      <c r="B9" s="452" t="s">
        <v>97</v>
      </c>
      <c r="C9" s="633">
        <v>2650</v>
      </c>
      <c r="D9" s="633">
        <v>2750</v>
      </c>
      <c r="E9" s="773">
        <v>2900</v>
      </c>
      <c r="F9" s="777">
        <v>2900</v>
      </c>
      <c r="G9" s="777">
        <v>3600</v>
      </c>
      <c r="H9" s="925">
        <f>SUM(G9:G11)</f>
        <v>11800</v>
      </c>
    </row>
    <row r="10" spans="1:10" s="103" customFormat="1" ht="24.95" customHeight="1">
      <c r="A10" s="382">
        <v>435</v>
      </c>
      <c r="B10" s="452" t="s">
        <v>98</v>
      </c>
      <c r="C10" s="634">
        <v>1490</v>
      </c>
      <c r="D10" s="634">
        <v>14560</v>
      </c>
      <c r="E10" s="774">
        <v>10000</v>
      </c>
      <c r="F10" s="778">
        <v>7000</v>
      </c>
      <c r="G10" s="778">
        <f>5000+3000</f>
        <v>8000</v>
      </c>
      <c r="H10" s="926"/>
    </row>
    <row r="11" spans="1:10" s="103" customFormat="1" ht="24.95" customHeight="1">
      <c r="A11" s="382">
        <v>450</v>
      </c>
      <c r="B11" s="452" t="s">
        <v>514</v>
      </c>
      <c r="C11" s="514">
        <v>448</v>
      </c>
      <c r="D11" s="514">
        <v>26867.360000000001</v>
      </c>
      <c r="E11" s="775">
        <v>500</v>
      </c>
      <c r="F11" s="779">
        <v>200</v>
      </c>
      <c r="G11" s="779">
        <v>200</v>
      </c>
      <c r="H11" s="927"/>
    </row>
    <row r="12" spans="1:10" s="103" customFormat="1" ht="24.95" customHeight="1">
      <c r="A12" s="382">
        <v>460</v>
      </c>
      <c r="B12" s="452" t="s">
        <v>267</v>
      </c>
      <c r="C12" s="633">
        <v>450</v>
      </c>
      <c r="D12" s="636">
        <v>4485</v>
      </c>
      <c r="E12" s="777">
        <v>4000</v>
      </c>
      <c r="F12" s="777">
        <v>4000</v>
      </c>
      <c r="G12" s="777">
        <v>2000</v>
      </c>
      <c r="H12" s="925">
        <f>SUM(G12:G14)</f>
        <v>176300</v>
      </c>
    </row>
    <row r="13" spans="1:10" s="103" customFormat="1" ht="24.95" customHeight="1">
      <c r="A13" s="382">
        <v>470</v>
      </c>
      <c r="B13" s="454" t="s">
        <v>424</v>
      </c>
      <c r="C13" s="634">
        <v>124555</v>
      </c>
      <c r="D13" s="637">
        <v>138600</v>
      </c>
      <c r="E13" s="778">
        <v>144000</v>
      </c>
      <c r="F13" s="778">
        <v>147600</v>
      </c>
      <c r="G13" s="778">
        <f>30*4050</f>
        <v>121500</v>
      </c>
      <c r="H13" s="926"/>
    </row>
    <row r="14" spans="1:10" s="103" customFormat="1" ht="30" customHeight="1">
      <c r="A14" s="382">
        <v>471</v>
      </c>
      <c r="B14" s="454" t="s">
        <v>338</v>
      </c>
      <c r="C14" s="514">
        <v>34455.75</v>
      </c>
      <c r="D14" s="638">
        <v>35180</v>
      </c>
      <c r="E14" s="779">
        <v>42000</v>
      </c>
      <c r="F14" s="779">
        <v>49200</v>
      </c>
      <c r="G14" s="779">
        <f>48*1100</f>
        <v>52800</v>
      </c>
      <c r="H14" s="927"/>
    </row>
    <row r="15" spans="1:10" s="103" customFormat="1" ht="30" customHeight="1">
      <c r="A15" s="382">
        <v>475</v>
      </c>
      <c r="B15" s="454" t="s">
        <v>99</v>
      </c>
      <c r="C15" s="639">
        <v>6488.95</v>
      </c>
      <c r="D15" s="639">
        <v>10000</v>
      </c>
      <c r="E15" s="772">
        <v>10100</v>
      </c>
      <c r="F15" s="776">
        <v>15000</v>
      </c>
      <c r="G15" s="776"/>
      <c r="H15" s="860"/>
    </row>
    <row r="16" spans="1:10" s="103" customFormat="1" ht="24.95" customHeight="1">
      <c r="A16" s="382">
        <v>477</v>
      </c>
      <c r="B16" s="452" t="s">
        <v>268</v>
      </c>
      <c r="C16" s="633">
        <v>2500</v>
      </c>
      <c r="D16" s="633"/>
      <c r="E16" s="777">
        <v>0</v>
      </c>
      <c r="F16" s="777"/>
      <c r="G16" s="777"/>
      <c r="H16" s="925">
        <f>SUM(G16:G17)</f>
        <v>2500</v>
      </c>
    </row>
    <row r="17" spans="1:8" s="103" customFormat="1" ht="24.95" customHeight="1">
      <c r="A17" s="382">
        <v>480</v>
      </c>
      <c r="B17" s="452" t="s">
        <v>264</v>
      </c>
      <c r="C17" s="514">
        <v>1250</v>
      </c>
      <c r="D17" s="514">
        <v>3850</v>
      </c>
      <c r="E17" s="775">
        <v>2500</v>
      </c>
      <c r="F17" s="779">
        <v>2500</v>
      </c>
      <c r="G17" s="779">
        <v>2500</v>
      </c>
      <c r="H17" s="927"/>
    </row>
    <row r="18" spans="1:8" s="103" customFormat="1" ht="24.95" customHeight="1">
      <c r="A18" s="382">
        <v>485</v>
      </c>
      <c r="B18" s="452" t="s">
        <v>100</v>
      </c>
      <c r="C18" s="633">
        <v>124</v>
      </c>
      <c r="D18" s="633">
        <v>218</v>
      </c>
      <c r="E18" s="773">
        <v>0</v>
      </c>
      <c r="F18" s="777">
        <v>300000</v>
      </c>
      <c r="G18" s="777"/>
      <c r="H18" s="928">
        <f>SUM(G18:G22)</f>
        <v>2400</v>
      </c>
    </row>
    <row r="19" spans="1:8" s="103" customFormat="1" ht="24.95" customHeight="1">
      <c r="A19" s="382">
        <v>487</v>
      </c>
      <c r="B19" s="452" t="s">
        <v>422</v>
      </c>
      <c r="C19" s="640">
        <v>2280.4</v>
      </c>
      <c r="D19" s="640">
        <v>3400</v>
      </c>
      <c r="E19" s="774">
        <v>3400</v>
      </c>
      <c r="F19" s="778">
        <v>2200</v>
      </c>
      <c r="G19" s="778">
        <v>2400</v>
      </c>
      <c r="H19" s="926"/>
    </row>
    <row r="20" spans="1:8" s="103" customFormat="1" ht="24.95" customHeight="1">
      <c r="A20" s="382">
        <v>490</v>
      </c>
      <c r="B20" s="452" t="s">
        <v>101</v>
      </c>
      <c r="C20" s="634">
        <v>6004.64</v>
      </c>
      <c r="D20" s="634">
        <v>0</v>
      </c>
      <c r="E20" s="774">
        <v>0</v>
      </c>
      <c r="F20" s="778"/>
      <c r="G20" s="778"/>
      <c r="H20" s="926"/>
    </row>
    <row r="21" spans="1:8" s="103" customFormat="1" ht="24.95" customHeight="1">
      <c r="A21" s="382">
        <v>493</v>
      </c>
      <c r="B21" s="452" t="s">
        <v>428</v>
      </c>
      <c r="C21" s="634">
        <v>276.60000000000002</v>
      </c>
      <c r="D21" s="634">
        <v>539.70000000000005</v>
      </c>
      <c r="E21" s="774">
        <v>0</v>
      </c>
      <c r="F21" s="778"/>
      <c r="G21" s="778"/>
      <c r="H21" s="926"/>
    </row>
    <row r="22" spans="1:8" s="103" customFormat="1" ht="24.95" customHeight="1">
      <c r="A22" s="382">
        <v>499</v>
      </c>
      <c r="B22" s="452" t="s">
        <v>102</v>
      </c>
      <c r="C22" s="514"/>
      <c r="D22" s="514"/>
      <c r="E22" s="779">
        <v>55000</v>
      </c>
      <c r="F22" s="779">
        <v>80000</v>
      </c>
      <c r="G22" s="779"/>
      <c r="H22" s="927"/>
    </row>
    <row r="23" spans="1:8" s="103" customFormat="1" ht="24.95" customHeight="1">
      <c r="A23" s="382">
        <v>495</v>
      </c>
      <c r="B23" s="455" t="s">
        <v>386</v>
      </c>
      <c r="C23" s="640">
        <v>0</v>
      </c>
      <c r="D23" s="640">
        <v>10560</v>
      </c>
      <c r="E23" s="772">
        <v>0</v>
      </c>
      <c r="F23" s="776"/>
      <c r="G23" s="776"/>
      <c r="H23" s="861"/>
    </row>
    <row r="24" spans="1:8" s="103" customFormat="1" ht="13.5" customHeight="1" thickBot="1">
      <c r="A24" s="449"/>
      <c r="B24" s="456"/>
      <c r="D24" s="321"/>
      <c r="E24" s="772"/>
      <c r="F24" s="776"/>
      <c r="G24" s="776"/>
      <c r="H24" s="861"/>
    </row>
    <row r="25" spans="1:8" s="103" customFormat="1" ht="18.75" customHeight="1" thickTop="1">
      <c r="A25" s="148"/>
      <c r="B25" s="381" t="s">
        <v>150</v>
      </c>
      <c r="C25" s="146">
        <f>SUM(C4:C24)</f>
        <v>3879666.0200000005</v>
      </c>
      <c r="D25" s="361">
        <f>SUM(D4:D24)</f>
        <v>3861683.81</v>
      </c>
      <c r="E25" s="361">
        <f>SUM(E4:E24)</f>
        <v>3961537</v>
      </c>
      <c r="F25" s="780">
        <f>SUM(F4:F24)</f>
        <v>4384629</v>
      </c>
      <c r="G25" s="780">
        <f>SUM(G4:G24)</f>
        <v>4532113</v>
      </c>
    </row>
    <row r="26" spans="1:8" s="103" customFormat="1" ht="16.5">
      <c r="A26" s="107"/>
      <c r="B26" s="17"/>
      <c r="C26" s="48"/>
      <c r="D26" s="48"/>
    </row>
    <row r="27" spans="1:8" ht="12.95" customHeight="1">
      <c r="A27" s="26"/>
      <c r="B27" s="26"/>
    </row>
    <row r="28" spans="1:8" ht="18" customHeight="1">
      <c r="A28" s="26"/>
      <c r="B28" s="26"/>
    </row>
    <row r="29" spans="1:8" ht="9" customHeight="1">
      <c r="A29" s="26"/>
      <c r="B29" s="26"/>
    </row>
    <row r="30" spans="1:8" s="103" customFormat="1" ht="12.95" customHeight="1"/>
    <row r="31" spans="1:8" ht="9" customHeight="1">
      <c r="A31" s="26"/>
      <c r="B31" s="26"/>
    </row>
    <row r="32" spans="1:8" ht="12.95" customHeight="1">
      <c r="A32" s="26"/>
      <c r="B32" s="26"/>
    </row>
    <row r="33" spans="1:2" ht="12.95" customHeight="1">
      <c r="A33" s="26"/>
      <c r="B33" s="26"/>
    </row>
    <row r="34" spans="1:2" ht="12.95" customHeight="1">
      <c r="A34" s="26"/>
      <c r="B34" s="26"/>
    </row>
    <row r="35" spans="1:2" ht="12.95" customHeight="1">
      <c r="A35" s="26"/>
      <c r="B35" s="26"/>
    </row>
    <row r="36" spans="1:2" ht="12.95" customHeight="1">
      <c r="A36" s="26"/>
      <c r="B36" s="26"/>
    </row>
    <row r="37" spans="1:2" ht="12.95" customHeight="1">
      <c r="A37" s="26"/>
      <c r="B37" s="26"/>
    </row>
    <row r="38" spans="1:2" ht="18.75" customHeight="1">
      <c r="A38" s="26"/>
      <c r="B38" s="26"/>
    </row>
    <row r="39" spans="1:2" ht="18.75" customHeight="1">
      <c r="A39" s="26"/>
      <c r="B39" s="26"/>
    </row>
    <row r="40" spans="1:2" ht="18.75" customHeight="1">
      <c r="A40" s="26"/>
      <c r="B40" s="26"/>
    </row>
    <row r="41" spans="1:2" ht="18.75" customHeight="1">
      <c r="A41" s="26"/>
      <c r="B41" s="26"/>
    </row>
    <row r="42" spans="1:2" ht="18.75" customHeight="1">
      <c r="A42" s="26"/>
      <c r="B42" s="26"/>
    </row>
    <row r="43" spans="1:2" ht="10.5" customHeight="1">
      <c r="A43" s="26"/>
      <c r="B43" s="26"/>
    </row>
    <row r="44" spans="1:2" ht="18.75" customHeight="1">
      <c r="A44" s="26"/>
      <c r="B44" s="26"/>
    </row>
    <row r="45" spans="1:2" ht="18.75" customHeight="1">
      <c r="A45" s="26"/>
      <c r="B45" s="26"/>
    </row>
    <row r="46" spans="1:2" ht="18.75" customHeight="1">
      <c r="A46" s="26"/>
      <c r="B46" s="26"/>
    </row>
    <row r="47" spans="1:2" ht="18.75" customHeight="1">
      <c r="A47" s="26"/>
      <c r="B47" s="26"/>
    </row>
    <row r="48" spans="1:2" ht="18.75" customHeight="1">
      <c r="A48" s="26"/>
      <c r="B48" s="26"/>
    </row>
    <row r="49" spans="1:2" ht="18.75" customHeight="1">
      <c r="A49" s="26"/>
      <c r="B49" s="26"/>
    </row>
    <row r="50" spans="1:2" ht="18.75" customHeight="1">
      <c r="A50" s="26"/>
      <c r="B50" s="26"/>
    </row>
    <row r="51" spans="1:2" ht="18.75" customHeight="1">
      <c r="A51" s="26"/>
      <c r="B51" s="26"/>
    </row>
    <row r="52" spans="1:2" ht="18.75" customHeight="1">
      <c r="A52" s="26"/>
      <c r="B52" s="26"/>
    </row>
    <row r="53" spans="1:2" ht="18.75" customHeight="1">
      <c r="A53" s="26"/>
      <c r="B53" s="26"/>
    </row>
    <row r="54" spans="1:2" ht="18.75" customHeight="1">
      <c r="A54" s="26"/>
      <c r="B54" s="26"/>
    </row>
    <row r="55" spans="1:2" ht="18.75" customHeight="1">
      <c r="A55" s="26"/>
      <c r="B55" s="26"/>
    </row>
    <row r="56" spans="1:2" ht="18.75" customHeight="1">
      <c r="A56" s="26"/>
      <c r="B56" s="26"/>
    </row>
  </sheetData>
  <mergeCells count="5">
    <mergeCell ref="H5:H7"/>
    <mergeCell ref="H9:H11"/>
    <mergeCell ref="H12:H14"/>
    <mergeCell ref="H16:H17"/>
    <mergeCell ref="H18:H22"/>
  </mergeCells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39" customWidth="1"/>
    <col min="2" max="2" width="9.28515625" hidden="1" customWidth="1"/>
    <col min="3" max="3" width="10.28515625" customWidth="1"/>
    <col min="4" max="4" width="9.5703125" customWidth="1"/>
    <col min="7" max="7" width="13" customWidth="1"/>
  </cols>
  <sheetData>
    <row r="1" spans="1:7" ht="18.95" customHeight="1">
      <c r="A1" s="314" t="s">
        <v>724</v>
      </c>
      <c r="B1" s="314"/>
      <c r="C1" s="314"/>
      <c r="D1" s="314"/>
      <c r="E1" s="314"/>
      <c r="F1" s="314"/>
    </row>
    <row r="2" spans="1:7" ht="18.95" customHeight="1">
      <c r="A2" s="119" t="s">
        <v>152</v>
      </c>
      <c r="B2" s="119">
        <v>2010</v>
      </c>
      <c r="C2" s="119">
        <v>2012</v>
      </c>
      <c r="D2" s="119">
        <v>2013</v>
      </c>
      <c r="E2" s="119">
        <v>2014</v>
      </c>
      <c r="F2" s="119">
        <v>2015</v>
      </c>
    </row>
    <row r="3" spans="1:7" ht="24.95" customHeight="1">
      <c r="A3" s="352"/>
      <c r="B3" s="352"/>
      <c r="C3" s="352"/>
      <c r="D3" s="352"/>
      <c r="E3" s="352"/>
      <c r="F3" s="352"/>
      <c r="G3" s="290"/>
    </row>
    <row r="4" spans="1:7" ht="24.95" customHeight="1">
      <c r="A4" s="269" t="s">
        <v>374</v>
      </c>
      <c r="B4" s="223">
        <v>600</v>
      </c>
      <c r="C4" s="223">
        <v>400</v>
      </c>
      <c r="D4" s="223">
        <v>750</v>
      </c>
      <c r="E4" s="223">
        <v>800</v>
      </c>
      <c r="F4" s="223">
        <v>1000</v>
      </c>
      <c r="G4" s="313" t="s">
        <v>612</v>
      </c>
    </row>
    <row r="5" spans="1:7" ht="24.95" customHeight="1">
      <c r="A5" s="355" t="s">
        <v>684</v>
      </c>
      <c r="B5" s="223">
        <v>1000</v>
      </c>
      <c r="C5" s="223">
        <v>600</v>
      </c>
      <c r="D5" s="223">
        <v>400</v>
      </c>
      <c r="E5" s="223">
        <v>800</v>
      </c>
      <c r="F5" s="223">
        <v>1200</v>
      </c>
      <c r="G5" s="24"/>
    </row>
    <row r="6" spans="1:7" ht="24.95" customHeight="1">
      <c r="A6" s="323" t="s">
        <v>680</v>
      </c>
      <c r="B6" s="265">
        <v>5600</v>
      </c>
      <c r="C6" s="265">
        <v>7500</v>
      </c>
      <c r="D6" s="265">
        <v>8000</v>
      </c>
      <c r="E6" s="265">
        <v>5000</v>
      </c>
      <c r="F6" s="265">
        <v>8000</v>
      </c>
      <c r="G6" s="24" t="s">
        <v>613</v>
      </c>
    </row>
    <row r="7" spans="1:7" ht="24.95" customHeight="1">
      <c r="A7" s="269" t="s">
        <v>372</v>
      </c>
      <c r="B7" s="223">
        <v>400</v>
      </c>
      <c r="C7" s="223">
        <v>300</v>
      </c>
      <c r="D7" s="223">
        <v>300</v>
      </c>
      <c r="E7" s="223">
        <v>400</v>
      </c>
      <c r="F7" s="223">
        <v>500</v>
      </c>
      <c r="G7" s="24"/>
    </row>
    <row r="8" spans="1:7" ht="24.95" customHeight="1">
      <c r="A8" s="53" t="s">
        <v>373</v>
      </c>
      <c r="B8" s="235">
        <v>350</v>
      </c>
      <c r="C8" s="235">
        <v>400</v>
      </c>
      <c r="D8" s="235">
        <v>350</v>
      </c>
      <c r="E8" s="235">
        <v>0</v>
      </c>
      <c r="F8" s="235">
        <v>0</v>
      </c>
      <c r="G8" s="24"/>
    </row>
    <row r="9" spans="1:7" ht="24.95" customHeight="1">
      <c r="A9" s="323" t="s">
        <v>599</v>
      </c>
      <c r="B9" s="265">
        <v>800</v>
      </c>
      <c r="C9" s="265">
        <v>1000</v>
      </c>
      <c r="D9" s="265">
        <v>1000</v>
      </c>
      <c r="E9" s="265">
        <v>1200</v>
      </c>
      <c r="F9" s="265">
        <v>1200</v>
      </c>
      <c r="G9" s="24" t="s">
        <v>120</v>
      </c>
    </row>
    <row r="10" spans="1:7" ht="24.95" customHeight="1">
      <c r="A10" s="354" t="s">
        <v>377</v>
      </c>
      <c r="B10" s="265"/>
      <c r="C10" s="265">
        <v>200</v>
      </c>
      <c r="D10" s="265">
        <v>200</v>
      </c>
      <c r="E10" s="265">
        <v>200</v>
      </c>
      <c r="F10" s="265"/>
      <c r="G10" s="24" t="s">
        <v>429</v>
      </c>
    </row>
    <row r="11" spans="1:7" ht="24.95" customHeight="1">
      <c r="A11" s="354" t="s">
        <v>375</v>
      </c>
      <c r="B11" s="265">
        <v>250</v>
      </c>
      <c r="C11" s="265">
        <v>200</v>
      </c>
      <c r="D11" s="265">
        <v>200</v>
      </c>
      <c r="E11" s="265">
        <v>300</v>
      </c>
      <c r="F11" s="265">
        <v>300</v>
      </c>
      <c r="G11" s="313" t="s">
        <v>600</v>
      </c>
    </row>
    <row r="12" spans="1:7" ht="24.95" customHeight="1">
      <c r="A12" s="354" t="s">
        <v>376</v>
      </c>
      <c r="B12" s="265">
        <v>400</v>
      </c>
      <c r="C12" s="265">
        <v>400</v>
      </c>
      <c r="D12" s="265">
        <v>400</v>
      </c>
      <c r="E12" s="265">
        <v>400</v>
      </c>
      <c r="F12" s="265"/>
      <c r="G12" s="24" t="s">
        <v>429</v>
      </c>
    </row>
    <row r="13" spans="1:7" ht="24.95" customHeight="1">
      <c r="A13" s="354" t="s">
        <v>378</v>
      </c>
      <c r="B13" s="265">
        <v>1400</v>
      </c>
      <c r="C13" s="265">
        <v>400</v>
      </c>
      <c r="D13" s="265">
        <v>1200</v>
      </c>
      <c r="E13" s="265">
        <v>1200</v>
      </c>
      <c r="F13" s="265">
        <v>1200</v>
      </c>
      <c r="G13" s="24" t="s">
        <v>119</v>
      </c>
    </row>
    <row r="14" spans="1:7" ht="24.95" hidden="1" customHeight="1">
      <c r="A14" s="267" t="s">
        <v>22</v>
      </c>
      <c r="B14" s="235">
        <v>500</v>
      </c>
      <c r="C14" s="235"/>
      <c r="D14" s="235"/>
      <c r="E14" s="235"/>
      <c r="F14" s="265"/>
      <c r="G14" s="24"/>
    </row>
    <row r="15" spans="1:7" ht="24.95" customHeight="1">
      <c r="A15" s="354" t="s">
        <v>118</v>
      </c>
      <c r="B15" s="265">
        <v>2600</v>
      </c>
      <c r="C15" s="265">
        <v>2750</v>
      </c>
      <c r="D15" s="265">
        <v>3000</v>
      </c>
      <c r="E15" s="265">
        <v>3000</v>
      </c>
      <c r="F15" s="265">
        <f>3200+6500</f>
        <v>9700</v>
      </c>
      <c r="G15" s="24" t="s">
        <v>721</v>
      </c>
    </row>
    <row r="16" spans="1:7" ht="24.95" customHeight="1">
      <c r="A16" s="356" t="s">
        <v>351</v>
      </c>
      <c r="B16" s="224">
        <v>1000</v>
      </c>
      <c r="C16" s="224">
        <v>600</v>
      </c>
      <c r="D16" s="224">
        <v>750</v>
      </c>
      <c r="E16" s="224">
        <v>1000</v>
      </c>
      <c r="F16" s="969">
        <v>2200</v>
      </c>
      <c r="G16" s="24" t="s">
        <v>722</v>
      </c>
    </row>
    <row r="17" spans="1:7" ht="24.95" customHeight="1">
      <c r="A17" s="288" t="s">
        <v>723</v>
      </c>
      <c r="B17" s="224">
        <v>500</v>
      </c>
      <c r="C17" s="224"/>
      <c r="D17" s="224"/>
      <c r="E17" s="224"/>
      <c r="F17" s="969"/>
      <c r="G17" s="24" t="s">
        <v>429</v>
      </c>
    </row>
    <row r="18" spans="1:7" ht="24.95" customHeight="1">
      <c r="A18" s="267"/>
      <c r="B18" s="223"/>
      <c r="C18" s="223"/>
      <c r="D18" s="223"/>
      <c r="E18" s="223"/>
      <c r="F18" s="223"/>
      <c r="G18" s="24"/>
    </row>
    <row r="19" spans="1:7" ht="24.95" customHeight="1">
      <c r="A19" s="267"/>
      <c r="B19" s="223"/>
      <c r="C19" s="223"/>
      <c r="D19" s="223"/>
      <c r="E19" s="223"/>
      <c r="F19" s="223"/>
      <c r="G19" s="24"/>
    </row>
    <row r="20" spans="1:7" ht="24.95" customHeight="1">
      <c r="A20" s="267"/>
      <c r="B20" s="223"/>
      <c r="C20" s="223"/>
      <c r="D20" s="223"/>
      <c r="E20" s="223"/>
      <c r="F20" s="223"/>
      <c r="G20" s="24"/>
    </row>
    <row r="21" spans="1:7" ht="24.95" customHeight="1" thickBot="1">
      <c r="A21" s="794" t="s">
        <v>569</v>
      </c>
      <c r="B21" s="224">
        <v>-4500</v>
      </c>
      <c r="C21" s="224"/>
      <c r="D21" s="224"/>
      <c r="E21" s="224"/>
      <c r="F21" s="224"/>
      <c r="G21" s="24"/>
    </row>
    <row r="22" spans="1:7" ht="24.95" customHeight="1">
      <c r="A22" s="381" t="s">
        <v>150</v>
      </c>
      <c r="B22" s="546">
        <f>SUM(B3:B21)</f>
        <v>10900</v>
      </c>
      <c r="C22" s="546">
        <f>SUM(C3:C21)</f>
        <v>14750</v>
      </c>
      <c r="D22" s="546">
        <f>SUM(D3:D21)</f>
        <v>16550</v>
      </c>
      <c r="E22" s="546">
        <f>SUM(E3:E21)</f>
        <v>14300</v>
      </c>
      <c r="F22" s="546">
        <f>SUM(F3:F21)</f>
        <v>25300</v>
      </c>
      <c r="G22" s="290"/>
    </row>
    <row r="23" spans="1:7">
      <c r="A23" s="315"/>
      <c r="B23" s="24"/>
      <c r="C23" s="24"/>
      <c r="D23" s="24"/>
      <c r="E23" s="24"/>
      <c r="F23" s="24"/>
      <c r="G23" s="290"/>
    </row>
  </sheetData>
  <sortState ref="A4:E5">
    <sortCondition ref="A4: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9.85546875" style="3" customWidth="1"/>
    <col min="2" max="2" width="10.42578125" style="1" hidden="1" customWidth="1"/>
    <col min="3" max="5" width="10.42578125" style="1" customWidth="1"/>
    <col min="6" max="6" width="11.7109375" style="1" bestFit="1" customWidth="1"/>
    <col min="7" max="16384" width="9.140625" style="1"/>
  </cols>
  <sheetData>
    <row r="1" spans="1:6" s="2" customFormat="1" ht="18.75" customHeight="1">
      <c r="A1" s="916" t="s">
        <v>321</v>
      </c>
      <c r="B1" s="97"/>
      <c r="C1" s="97"/>
      <c r="D1" s="97"/>
      <c r="E1" s="97"/>
      <c r="F1" s="97"/>
    </row>
    <row r="2" spans="1:6" ht="12.75" customHeight="1">
      <c r="A2" s="31"/>
      <c r="B2" s="23"/>
      <c r="C2" s="23"/>
      <c r="D2" s="30"/>
      <c r="E2" s="485"/>
      <c r="F2" s="485"/>
    </row>
    <row r="3" spans="1:6" s="2" customFormat="1" ht="16.5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6" customFormat="1" ht="16.5">
      <c r="A4" s="111"/>
      <c r="B4" s="124"/>
      <c r="C4" s="124"/>
      <c r="D4" s="124"/>
      <c r="E4" s="124"/>
      <c r="F4" s="124"/>
    </row>
    <row r="5" spans="1:6" ht="18.75" customHeight="1">
      <c r="A5" s="269" t="s">
        <v>312</v>
      </c>
      <c r="B5" s="235">
        <v>6925</v>
      </c>
      <c r="C5" s="235">
        <v>6500</v>
      </c>
      <c r="D5" s="235">
        <v>6500</v>
      </c>
      <c r="E5" s="235">
        <v>6500</v>
      </c>
      <c r="F5" s="235">
        <v>4500</v>
      </c>
    </row>
    <row r="6" spans="1:6" ht="18.75" customHeight="1">
      <c r="A6" s="358" t="s">
        <v>310</v>
      </c>
      <c r="B6" s="329">
        <v>725</v>
      </c>
      <c r="C6" s="329">
        <v>1500</v>
      </c>
      <c r="D6" s="329">
        <v>1500</v>
      </c>
      <c r="E6" s="329">
        <v>1200</v>
      </c>
      <c r="F6" s="329">
        <v>1200</v>
      </c>
    </row>
    <row r="7" spans="1:6" ht="18.75" customHeight="1">
      <c r="A7" s="269" t="s">
        <v>320</v>
      </c>
      <c r="B7" s="235">
        <v>4500</v>
      </c>
      <c r="C7" s="235">
        <v>3500</v>
      </c>
      <c r="D7" s="235">
        <v>3500</v>
      </c>
      <c r="E7" s="235">
        <v>3600</v>
      </c>
      <c r="F7" s="235">
        <v>3600</v>
      </c>
    </row>
    <row r="8" spans="1:6" s="2" customFormat="1" ht="18.75" customHeight="1">
      <c r="A8" s="269" t="s">
        <v>342</v>
      </c>
      <c r="B8" s="235">
        <v>4000</v>
      </c>
      <c r="C8" s="235">
        <v>4000</v>
      </c>
      <c r="D8" s="235">
        <v>3000</v>
      </c>
      <c r="E8" s="235">
        <v>3000</v>
      </c>
      <c r="F8" s="235">
        <v>3000</v>
      </c>
    </row>
    <row r="9" spans="1:6" s="2" customFormat="1" ht="18.75" customHeight="1">
      <c r="A9" s="269" t="s">
        <v>341</v>
      </c>
      <c r="B9" s="235">
        <v>2000</v>
      </c>
      <c r="C9" s="235">
        <v>2000</v>
      </c>
      <c r="D9" s="235">
        <v>2500</v>
      </c>
      <c r="E9" s="235">
        <v>2000</v>
      </c>
      <c r="F9" s="235">
        <v>2000</v>
      </c>
    </row>
    <row r="10" spans="1:6" s="2" customFormat="1" ht="18.75" customHeight="1">
      <c r="A10" s="269" t="s">
        <v>311</v>
      </c>
      <c r="B10" s="329">
        <v>2000</v>
      </c>
      <c r="C10" s="329">
        <v>1500</v>
      </c>
      <c r="D10" s="329">
        <v>2000</v>
      </c>
      <c r="E10" s="329">
        <v>2000</v>
      </c>
      <c r="F10" s="329">
        <v>2000</v>
      </c>
    </row>
    <row r="11" spans="1:6" s="2" customFormat="1" ht="18.75" customHeight="1">
      <c r="A11" s="269" t="s">
        <v>309</v>
      </c>
      <c r="B11" s="329">
        <v>2000</v>
      </c>
      <c r="C11" s="329">
        <v>2500</v>
      </c>
      <c r="D11" s="329">
        <v>2500</v>
      </c>
      <c r="E11" s="329">
        <v>2200</v>
      </c>
      <c r="F11" s="373">
        <v>2200</v>
      </c>
    </row>
    <row r="12" spans="1:6" s="2" customFormat="1" ht="18.75" customHeight="1">
      <c r="A12" s="269" t="s">
        <v>122</v>
      </c>
      <c r="B12" s="235">
        <v>900</v>
      </c>
      <c r="C12" s="235">
        <v>800</v>
      </c>
      <c r="D12" s="235">
        <v>800</v>
      </c>
      <c r="E12" s="235">
        <v>500</v>
      </c>
      <c r="F12" s="265">
        <v>1000</v>
      </c>
    </row>
    <row r="13" spans="1:6" ht="18.75" hidden="1" customHeight="1">
      <c r="A13" s="269" t="s">
        <v>318</v>
      </c>
      <c r="B13" s="235">
        <v>34400</v>
      </c>
      <c r="C13" s="235"/>
      <c r="D13" s="235"/>
      <c r="E13" s="235"/>
      <c r="F13" s="265"/>
    </row>
    <row r="14" spans="1:6" ht="18.75" hidden="1" customHeight="1">
      <c r="A14" s="269" t="s">
        <v>339</v>
      </c>
      <c r="B14" s="235">
        <v>21840</v>
      </c>
      <c r="C14" s="235"/>
      <c r="D14" s="235"/>
      <c r="E14" s="235"/>
      <c r="F14" s="265"/>
    </row>
    <row r="15" spans="1:6" ht="18.75" customHeight="1">
      <c r="A15" s="269" t="s">
        <v>418</v>
      </c>
      <c r="B15" s="235">
        <v>7875</v>
      </c>
      <c r="C15" s="235">
        <v>7700</v>
      </c>
      <c r="D15" s="235">
        <v>10000</v>
      </c>
      <c r="E15" s="235">
        <v>11000</v>
      </c>
      <c r="F15" s="265">
        <v>10000</v>
      </c>
    </row>
    <row r="16" spans="1:6" ht="18.75" customHeight="1">
      <c r="A16" s="269" t="s">
        <v>726</v>
      </c>
      <c r="B16" s="235">
        <v>6500</v>
      </c>
      <c r="C16" s="235">
        <v>6000</v>
      </c>
      <c r="D16" s="235">
        <v>6000</v>
      </c>
      <c r="E16" s="235">
        <v>6000</v>
      </c>
      <c r="F16" s="265">
        <v>4000</v>
      </c>
    </row>
    <row r="17" spans="1:6" ht="18.75" hidden="1" customHeight="1">
      <c r="A17" s="269" t="s">
        <v>334</v>
      </c>
      <c r="B17" s="235">
        <v>500</v>
      </c>
      <c r="C17" s="235">
        <v>750</v>
      </c>
      <c r="D17" s="235"/>
      <c r="E17" s="235"/>
      <c r="F17" s="265"/>
    </row>
    <row r="18" spans="1:6" ht="18.75" hidden="1" customHeight="1">
      <c r="A18" s="269" t="s">
        <v>306</v>
      </c>
      <c r="B18" s="235">
        <v>1250</v>
      </c>
      <c r="C18" s="235">
        <v>1500</v>
      </c>
      <c r="D18" s="235"/>
      <c r="E18" s="235"/>
      <c r="F18" s="265"/>
    </row>
    <row r="19" spans="1:6" ht="18.75" customHeight="1">
      <c r="A19" s="269" t="s">
        <v>121</v>
      </c>
      <c r="B19" s="235"/>
      <c r="C19" s="235">
        <v>1200</v>
      </c>
      <c r="D19" s="235">
        <v>1200</v>
      </c>
      <c r="E19" s="235">
        <v>1200</v>
      </c>
      <c r="F19" s="265">
        <v>600</v>
      </c>
    </row>
    <row r="20" spans="1:6" ht="18.75" customHeight="1">
      <c r="A20" s="269" t="s">
        <v>307</v>
      </c>
      <c r="B20" s="235">
        <v>5367</v>
      </c>
      <c r="C20" s="235">
        <v>2500</v>
      </c>
      <c r="D20" s="235">
        <v>2500</v>
      </c>
      <c r="E20" s="235">
        <v>2000</v>
      </c>
      <c r="F20" s="265">
        <v>2500</v>
      </c>
    </row>
    <row r="21" spans="1:6" ht="18.75" customHeight="1">
      <c r="A21" s="358" t="s">
        <v>319</v>
      </c>
      <c r="B21" s="235">
        <v>250</v>
      </c>
      <c r="C21" s="235">
        <v>500</v>
      </c>
      <c r="D21" s="235">
        <v>650</v>
      </c>
      <c r="E21" s="235">
        <v>650</v>
      </c>
      <c r="F21" s="265">
        <v>750</v>
      </c>
    </row>
    <row r="22" spans="1:6" ht="18.75" customHeight="1">
      <c r="A22" s="269" t="s">
        <v>340</v>
      </c>
      <c r="B22" s="235">
        <v>2000</v>
      </c>
      <c r="C22" s="235">
        <v>1000</v>
      </c>
      <c r="D22" s="235">
        <v>1000</v>
      </c>
      <c r="E22" s="235">
        <v>750</v>
      </c>
      <c r="F22" s="235" t="s">
        <v>725</v>
      </c>
    </row>
    <row r="23" spans="1:6" ht="18.75" customHeight="1">
      <c r="A23" s="269" t="s">
        <v>447</v>
      </c>
      <c r="B23" s="235">
        <v>700</v>
      </c>
      <c r="C23" s="235">
        <v>500</v>
      </c>
      <c r="D23" s="235">
        <v>750</v>
      </c>
      <c r="E23" s="235">
        <v>750</v>
      </c>
      <c r="F23" s="235">
        <v>750</v>
      </c>
    </row>
    <row r="24" spans="1:6" ht="18.75" customHeight="1">
      <c r="A24" s="269" t="s">
        <v>123</v>
      </c>
      <c r="B24" s="235">
        <v>10625</v>
      </c>
      <c r="C24" s="235">
        <v>2000</v>
      </c>
      <c r="D24" s="235">
        <v>2500</v>
      </c>
      <c r="E24" s="235">
        <v>3500</v>
      </c>
      <c r="F24" s="235">
        <v>0</v>
      </c>
    </row>
    <row r="25" spans="1:6" ht="18.75" customHeight="1">
      <c r="A25" s="269" t="s">
        <v>124</v>
      </c>
      <c r="B25" s="235">
        <v>4725</v>
      </c>
      <c r="C25" s="235"/>
      <c r="D25" s="235">
        <v>5700</v>
      </c>
      <c r="E25" s="235">
        <v>6200</v>
      </c>
      <c r="F25" s="265">
        <v>15000</v>
      </c>
    </row>
    <row r="26" spans="1:6" ht="18.75" customHeight="1">
      <c r="A26" s="269" t="s">
        <v>125</v>
      </c>
      <c r="B26" s="235">
        <v>200</v>
      </c>
      <c r="C26" s="235">
        <v>200</v>
      </c>
      <c r="D26" s="235">
        <v>250</v>
      </c>
      <c r="E26" s="235">
        <v>350</v>
      </c>
      <c r="F26" s="235">
        <v>400</v>
      </c>
    </row>
    <row r="27" spans="1:6" ht="18.75" customHeight="1">
      <c r="A27" s="269" t="s">
        <v>308</v>
      </c>
      <c r="B27" s="235">
        <v>3000</v>
      </c>
      <c r="C27" s="235">
        <v>3000</v>
      </c>
      <c r="D27" s="235">
        <v>3500</v>
      </c>
      <c r="E27" s="235">
        <v>3500</v>
      </c>
      <c r="F27" s="235">
        <v>2500</v>
      </c>
    </row>
    <row r="28" spans="1:6" ht="18.75" customHeight="1">
      <c r="A28" s="269"/>
      <c r="B28" s="235"/>
      <c r="C28" s="235"/>
      <c r="D28" s="235"/>
      <c r="E28" s="235"/>
      <c r="F28" s="235"/>
    </row>
    <row r="29" spans="1:6" ht="18.75" customHeight="1">
      <c r="A29" s="269"/>
      <c r="B29" s="235"/>
      <c r="C29" s="235"/>
      <c r="D29" s="235"/>
      <c r="E29" s="235"/>
      <c r="F29" s="235"/>
    </row>
    <row r="30" spans="1:6" ht="18.75" customHeight="1">
      <c r="A30" s="269"/>
      <c r="B30" s="235"/>
      <c r="C30" s="235"/>
      <c r="D30" s="235"/>
      <c r="E30" s="235"/>
      <c r="F30" s="235"/>
    </row>
    <row r="31" spans="1:6" ht="18.75" customHeight="1">
      <c r="A31" s="269"/>
      <c r="B31" s="235"/>
      <c r="C31" s="235"/>
      <c r="D31" s="235"/>
      <c r="E31" s="235"/>
      <c r="F31" s="235"/>
    </row>
    <row r="32" spans="1:6" ht="18.75" customHeight="1" thickBot="1">
      <c r="A32" s="437" t="s">
        <v>569</v>
      </c>
      <c r="B32" s="659">
        <v>-22000</v>
      </c>
      <c r="C32" s="659"/>
      <c r="D32" s="659"/>
      <c r="E32" s="659"/>
      <c r="F32" s="659"/>
    </row>
    <row r="33" spans="1:6" ht="18.75" customHeight="1" thickTop="1">
      <c r="A33" s="256" t="s">
        <v>150</v>
      </c>
      <c r="B33" s="333">
        <f>SUM(B4:B32)</f>
        <v>100282</v>
      </c>
      <c r="C33" s="333">
        <f>SUM(C4:C32)</f>
        <v>49150</v>
      </c>
      <c r="D33" s="333">
        <f>SUM(D4:D32)</f>
        <v>56350</v>
      </c>
      <c r="E33" s="333">
        <f>SUM(E4:E32)</f>
        <v>56900</v>
      </c>
      <c r="F33" s="333">
        <f>SUM(F4:F32)</f>
        <v>56000</v>
      </c>
    </row>
    <row r="34" spans="1:6" ht="18.75" customHeight="1">
      <c r="A34" s="138"/>
      <c r="B34" s="106"/>
      <c r="C34" s="106"/>
    </row>
  </sheetData>
  <sortState ref="A6:E27">
    <sortCondition ref="A6:A27"/>
  </sortState>
  <phoneticPr fontId="19" type="noConversion"/>
  <printOptions horizontalCentered="1"/>
  <pageMargins left="0.75" right="0.5" top="0.75" bottom="0.5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workbookViewId="0"/>
  </sheetViews>
  <sheetFormatPr defaultRowHeight="18.75" customHeight="1"/>
  <cols>
    <col min="1" max="1" width="35.85546875" style="107" customWidth="1"/>
    <col min="2" max="2" width="13.140625" style="27" hidden="1" customWidth="1"/>
    <col min="3" max="4" width="11.7109375" style="27" customWidth="1"/>
    <col min="5" max="6" width="11" style="27" bestFit="1" customWidth="1"/>
    <col min="7" max="16384" width="9.140625" style="27"/>
  </cols>
  <sheetData>
    <row r="1" spans="1:6" s="48" customFormat="1" ht="21.75" customHeight="1">
      <c r="A1" s="251" t="s">
        <v>331</v>
      </c>
      <c r="B1" s="237"/>
      <c r="C1" s="237"/>
      <c r="D1" s="237"/>
      <c r="E1" s="237"/>
      <c r="F1" s="237"/>
    </row>
    <row r="2" spans="1:6" ht="12.75" customHeight="1">
      <c r="A2" s="108"/>
      <c r="B2" s="51"/>
      <c r="C2" s="51"/>
      <c r="D2" s="51"/>
      <c r="E2" s="51"/>
      <c r="F2" s="51"/>
    </row>
    <row r="3" spans="1:6" s="48" customFormat="1" ht="18.75" customHeight="1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134" customFormat="1" ht="16.5" customHeight="1">
      <c r="A4" s="108"/>
      <c r="B4" s="141"/>
      <c r="C4" s="141"/>
      <c r="D4" s="141"/>
      <c r="E4" s="141"/>
      <c r="F4" s="141"/>
    </row>
    <row r="5" spans="1:6" s="134" customFormat="1" ht="15.75" customHeight="1">
      <c r="A5" s="126" t="s">
        <v>337</v>
      </c>
      <c r="B5" s="359"/>
      <c r="C5" s="359"/>
      <c r="D5" s="359"/>
      <c r="E5" s="359"/>
      <c r="F5" s="359"/>
    </row>
    <row r="6" spans="1:6" s="48" customFormat="1" ht="18.75" customHeight="1">
      <c r="A6" s="69" t="s">
        <v>332</v>
      </c>
      <c r="B6" s="270">
        <v>4300</v>
      </c>
      <c r="C6" s="270">
        <v>5600</v>
      </c>
      <c r="D6" s="270">
        <v>5600</v>
      </c>
      <c r="E6" s="270">
        <f>100*52</f>
        <v>5200</v>
      </c>
      <c r="F6" s="270">
        <v>3500</v>
      </c>
    </row>
    <row r="7" spans="1:6" s="48" customFormat="1" ht="18.75" hidden="1" customHeight="1">
      <c r="A7" s="69" t="s">
        <v>388</v>
      </c>
      <c r="B7" s="270">
        <v>15000</v>
      </c>
      <c r="C7" s="270"/>
      <c r="D7" s="270"/>
      <c r="E7" s="270"/>
      <c r="F7" s="270"/>
    </row>
    <row r="8" spans="1:6" s="48" customFormat="1" ht="18.75" hidden="1" customHeight="1">
      <c r="A8" s="69" t="s">
        <v>448</v>
      </c>
      <c r="B8" s="270"/>
      <c r="C8" s="270"/>
      <c r="D8" s="270"/>
      <c r="E8" s="270"/>
      <c r="F8" s="270"/>
    </row>
    <row r="9" spans="1:6" ht="18.75" customHeight="1">
      <c r="A9" s="69" t="s">
        <v>316</v>
      </c>
      <c r="B9" s="270">
        <v>1000</v>
      </c>
      <c r="C9" s="270">
        <v>500</v>
      </c>
      <c r="D9" s="270">
        <v>450</v>
      </c>
      <c r="E9" s="270">
        <v>200</v>
      </c>
      <c r="F9" s="270">
        <v>200</v>
      </c>
    </row>
    <row r="10" spans="1:6" ht="18.75" customHeight="1">
      <c r="A10" s="69" t="s">
        <v>315</v>
      </c>
      <c r="B10" s="270">
        <v>1500</v>
      </c>
      <c r="C10" s="270">
        <v>1000</v>
      </c>
      <c r="D10" s="270">
        <v>1000</v>
      </c>
      <c r="E10" s="270">
        <v>1500</v>
      </c>
      <c r="F10" s="270">
        <v>1000</v>
      </c>
    </row>
    <row r="11" spans="1:6" ht="18.75" hidden="1" customHeight="1">
      <c r="A11" s="69" t="s">
        <v>334</v>
      </c>
      <c r="B11" s="270">
        <v>600</v>
      </c>
      <c r="C11" s="270">
        <v>750</v>
      </c>
      <c r="D11" s="270"/>
      <c r="E11" s="270"/>
      <c r="F11" s="270"/>
    </row>
    <row r="12" spans="1:6" ht="18.75" hidden="1" customHeight="1">
      <c r="A12" s="69" t="s">
        <v>336</v>
      </c>
      <c r="B12" s="270">
        <v>500</v>
      </c>
      <c r="C12" s="270"/>
      <c r="D12" s="270"/>
      <c r="E12" s="270"/>
      <c r="F12" s="270"/>
    </row>
    <row r="13" spans="1:6" ht="18.75" customHeight="1">
      <c r="A13" s="69" t="s">
        <v>335</v>
      </c>
      <c r="B13" s="270">
        <v>900</v>
      </c>
      <c r="C13" s="270">
        <v>900</v>
      </c>
      <c r="D13" s="270">
        <v>850</v>
      </c>
      <c r="E13" s="270">
        <v>850</v>
      </c>
      <c r="F13" s="270">
        <v>500</v>
      </c>
    </row>
    <row r="14" spans="1:6" ht="18.75" customHeight="1">
      <c r="A14" s="69" t="s">
        <v>333</v>
      </c>
      <c r="B14" s="270">
        <v>2000</v>
      </c>
      <c r="C14" s="270">
        <v>500</v>
      </c>
      <c r="D14" s="270">
        <v>1000</v>
      </c>
      <c r="E14" s="270">
        <v>1500</v>
      </c>
      <c r="F14" s="270">
        <v>4500</v>
      </c>
    </row>
    <row r="15" spans="1:6" ht="18.75" customHeight="1">
      <c r="A15" s="920" t="s">
        <v>765</v>
      </c>
      <c r="B15" s="360"/>
      <c r="C15" s="270"/>
      <c r="D15" s="270"/>
      <c r="E15" s="270"/>
      <c r="F15" s="270">
        <f>150*40</f>
        <v>6000</v>
      </c>
    </row>
    <row r="16" spans="1:6" ht="18.75" customHeight="1">
      <c r="A16" s="523"/>
      <c r="B16" s="360"/>
      <c r="C16" s="270"/>
      <c r="D16" s="270"/>
      <c r="E16" s="270"/>
      <c r="F16" s="270"/>
    </row>
    <row r="17" spans="1:6" ht="16.5" customHeight="1">
      <c r="A17" s="58"/>
      <c r="B17" s="270"/>
      <c r="C17" s="270"/>
      <c r="D17" s="270"/>
      <c r="E17" s="270"/>
      <c r="F17" s="270"/>
    </row>
    <row r="18" spans="1:6" ht="16.5" customHeight="1" thickBot="1">
      <c r="A18" s="395" t="s">
        <v>569</v>
      </c>
      <c r="B18" s="72"/>
      <c r="C18" s="660">
        <v>-498.76</v>
      </c>
      <c r="D18" s="660"/>
      <c r="E18" s="660"/>
      <c r="F18" s="660"/>
    </row>
    <row r="19" spans="1:6" ht="18.75" customHeight="1" thickTop="1">
      <c r="A19" s="113" t="s">
        <v>150</v>
      </c>
      <c r="B19" s="361">
        <f t="shared" ref="B19:D19" si="0">SUM(B4:B18)</f>
        <v>25800</v>
      </c>
      <c r="C19" s="361">
        <f t="shared" si="0"/>
        <v>8751.24</v>
      </c>
      <c r="D19" s="361">
        <f t="shared" si="0"/>
        <v>8900</v>
      </c>
      <c r="E19" s="361">
        <f>SUM(E4:E18)</f>
        <v>9250</v>
      </c>
      <c r="F19" s="361">
        <f>SUM(F4:F18)</f>
        <v>15700</v>
      </c>
    </row>
    <row r="20" spans="1:6" ht="8.25" customHeight="1"/>
    <row r="21" spans="1:6" ht="15" customHeight="1">
      <c r="A21"/>
      <c r="B21"/>
      <c r="C21"/>
      <c r="D21"/>
      <c r="E21"/>
      <c r="F21"/>
    </row>
    <row r="22" spans="1:6" ht="15" customHeight="1">
      <c r="A22"/>
      <c r="B22"/>
      <c r="C22"/>
      <c r="D22"/>
      <c r="E22"/>
      <c r="F22"/>
    </row>
    <row r="23" spans="1:6" ht="15" customHeight="1">
      <c r="A23"/>
      <c r="B23"/>
      <c r="C23"/>
      <c r="D23"/>
      <c r="E23"/>
      <c r="F23"/>
    </row>
    <row r="24" spans="1:6" ht="15" customHeight="1">
      <c r="A24"/>
      <c r="B24"/>
      <c r="C24"/>
      <c r="D24"/>
      <c r="E24"/>
      <c r="F24"/>
    </row>
    <row r="25" spans="1:6" ht="15" customHeight="1">
      <c r="A25"/>
      <c r="B25"/>
      <c r="C25"/>
      <c r="D25"/>
      <c r="E25"/>
      <c r="F25"/>
    </row>
    <row r="26" spans="1:6" ht="15" customHeight="1">
      <c r="A26"/>
      <c r="B26"/>
      <c r="C26"/>
      <c r="D26"/>
      <c r="E26"/>
      <c r="F26"/>
    </row>
    <row r="27" spans="1:6" ht="15" customHeight="1">
      <c r="A27"/>
      <c r="B27"/>
      <c r="C27"/>
      <c r="D27"/>
      <c r="E27"/>
      <c r="F27"/>
    </row>
    <row r="28" spans="1:6" ht="15" customHeight="1">
      <c r="A28"/>
      <c r="B28"/>
      <c r="C28"/>
      <c r="D28"/>
      <c r="E28"/>
      <c r="F28"/>
    </row>
    <row r="29" spans="1:6" ht="18.75" customHeight="1">
      <c r="A29"/>
      <c r="B29"/>
      <c r="C29"/>
      <c r="D29"/>
      <c r="E29"/>
      <c r="F29"/>
    </row>
    <row r="30" spans="1:6" ht="18.75" customHeight="1">
      <c r="A30"/>
      <c r="B30"/>
      <c r="C30"/>
      <c r="D30"/>
      <c r="E30"/>
      <c r="F30"/>
    </row>
  </sheetData>
  <sortState ref="A14:E15">
    <sortCondition ref="A14:A1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Header>&amp;R&amp;P of &amp;N</oddHeader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RowHeight="12.75"/>
  <cols>
    <col min="1" max="1" width="39" customWidth="1"/>
    <col min="2" max="2" width="12.42578125" customWidth="1"/>
    <col min="3" max="5" width="12.7109375" customWidth="1"/>
  </cols>
  <sheetData>
    <row r="1" spans="1:5" ht="23.25" customHeight="1">
      <c r="A1" s="314" t="s">
        <v>425</v>
      </c>
      <c r="B1" s="314"/>
      <c r="C1" s="314"/>
      <c r="D1" s="314"/>
      <c r="E1" s="314"/>
    </row>
    <row r="2" spans="1:5" ht="25.5" customHeight="1">
      <c r="A2" s="119" t="s">
        <v>152</v>
      </c>
      <c r="B2" s="119">
        <v>2012</v>
      </c>
      <c r="C2" s="119">
        <v>2013</v>
      </c>
      <c r="D2" s="119">
        <v>2014</v>
      </c>
      <c r="E2" s="119">
        <v>2015</v>
      </c>
    </row>
    <row r="3" spans="1:5" ht="18.95" customHeight="1">
      <c r="A3" s="352"/>
      <c r="B3" s="352"/>
      <c r="C3" s="352"/>
      <c r="D3" s="352"/>
      <c r="E3" s="352"/>
    </row>
    <row r="4" spans="1:5" ht="18.95" customHeight="1">
      <c r="A4" s="269" t="s">
        <v>426</v>
      </c>
      <c r="B4" s="266">
        <v>2200</v>
      </c>
      <c r="C4" s="266">
        <v>2100</v>
      </c>
      <c r="D4" s="266">
        <v>2300</v>
      </c>
      <c r="E4" s="266">
        <v>2300</v>
      </c>
    </row>
    <row r="5" spans="1:5" ht="22.5" customHeight="1">
      <c r="A5" s="269" t="s">
        <v>430</v>
      </c>
      <c r="B5" s="223"/>
      <c r="C5" s="223">
        <v>275</v>
      </c>
      <c r="D5" s="223">
        <v>300</v>
      </c>
      <c r="E5" s="223">
        <v>300</v>
      </c>
    </row>
    <row r="6" spans="1:5" ht="18.95" customHeight="1">
      <c r="A6" s="357"/>
      <c r="B6" s="223"/>
      <c r="C6" s="223"/>
      <c r="D6" s="223"/>
      <c r="E6" s="223"/>
    </row>
    <row r="7" spans="1:5" ht="18.95" customHeight="1">
      <c r="A7" s="353"/>
      <c r="B7" s="266"/>
      <c r="C7" s="266"/>
      <c r="D7" s="266"/>
      <c r="E7" s="266"/>
    </row>
    <row r="8" spans="1:5" ht="18.95" customHeight="1">
      <c r="A8" s="354"/>
      <c r="B8" s="349"/>
      <c r="C8" s="349"/>
      <c r="D8" s="349"/>
      <c r="E8" s="349"/>
    </row>
    <row r="9" spans="1:5" ht="33.75" customHeight="1">
      <c r="A9" s="355"/>
      <c r="B9" s="223"/>
      <c r="C9" s="223"/>
      <c r="D9" s="223"/>
      <c r="E9" s="223"/>
    </row>
    <row r="10" spans="1:5" ht="18.95" customHeight="1">
      <c r="A10" s="323"/>
      <c r="B10" s="349"/>
      <c r="C10" s="349"/>
      <c r="D10" s="349"/>
      <c r="E10" s="349"/>
    </row>
    <row r="11" spans="1:5" ht="18.95" customHeight="1" thickBot="1">
      <c r="A11" s="268" t="s">
        <v>569</v>
      </c>
      <c r="B11" s="223"/>
      <c r="C11" s="223"/>
      <c r="D11" s="223"/>
      <c r="E11" s="223"/>
    </row>
    <row r="12" spans="1:5" ht="18.95" customHeight="1" thickTop="1">
      <c r="A12" s="351" t="s">
        <v>150</v>
      </c>
      <c r="B12" s="64">
        <f>SUM(B4:B11)</f>
        <v>2200</v>
      </c>
      <c r="C12" s="64">
        <f>SUM(C4:C11)</f>
        <v>2375</v>
      </c>
      <c r="D12" s="64">
        <f>SUM(D4:D11)</f>
        <v>2600</v>
      </c>
      <c r="E12" s="64">
        <f>SUM(E4:E11)</f>
        <v>2600</v>
      </c>
    </row>
    <row r="13" spans="1:5">
      <c r="A13" s="315"/>
      <c r="B13" s="24"/>
      <c r="C13" s="24"/>
      <c r="D13" s="290"/>
      <c r="E13" s="290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30"/>
  <sheetViews>
    <sheetView workbookViewId="0"/>
  </sheetViews>
  <sheetFormatPr defaultRowHeight="12.75"/>
  <cols>
    <col min="1" max="1" width="38.28515625" style="24" customWidth="1"/>
    <col min="2" max="6" width="11.28515625" style="24" customWidth="1"/>
    <col min="7" max="10" width="9.140625" style="24"/>
    <col min="11" max="11" width="10.7109375" style="24" bestFit="1" customWidth="1"/>
    <col min="12" max="16384" width="9.140625" style="24"/>
  </cols>
  <sheetData>
    <row r="1" spans="1:11">
      <c r="A1" s="299" t="s">
        <v>284</v>
      </c>
      <c r="B1" s="300"/>
      <c r="C1" s="300"/>
      <c r="D1" s="300"/>
      <c r="E1" s="300"/>
    </row>
    <row r="2" spans="1:11">
      <c r="A2" s="918"/>
      <c r="B2" s="919"/>
      <c r="C2" s="919"/>
      <c r="D2" s="919"/>
      <c r="E2" s="919"/>
    </row>
    <row r="3" spans="1:11" ht="15.75" customHeight="1">
      <c r="A3" s="368" t="s">
        <v>152</v>
      </c>
      <c r="B3" s="369">
        <v>2012</v>
      </c>
      <c r="C3" s="369">
        <v>2013</v>
      </c>
      <c r="D3" s="369">
        <v>2014</v>
      </c>
      <c r="E3" s="369">
        <v>2015</v>
      </c>
    </row>
    <row r="4" spans="1:11" ht="20.100000000000001" customHeight="1">
      <c r="A4" s="61" t="s">
        <v>240</v>
      </c>
      <c r="B4" s="667">
        <v>144944.88</v>
      </c>
      <c r="C4" s="667">
        <v>148260</v>
      </c>
      <c r="D4" s="667">
        <v>156333.63</v>
      </c>
      <c r="E4" s="667">
        <f>'642 PAYROLL'!K51*0.0765</f>
        <v>165469.279221</v>
      </c>
      <c r="F4" s="701"/>
      <c r="G4"/>
      <c r="H4" s="701"/>
    </row>
    <row r="5" spans="1:11" ht="20.100000000000001" customHeight="1">
      <c r="A5" s="289" t="s">
        <v>538</v>
      </c>
      <c r="B5" s="364">
        <v>5250</v>
      </c>
      <c r="C5" s="332">
        <v>5250</v>
      </c>
      <c r="D5" s="332">
        <v>5250</v>
      </c>
      <c r="E5" s="332">
        <v>5250</v>
      </c>
      <c r="F5" s="486"/>
    </row>
    <row r="6" spans="1:11" ht="20.100000000000001" customHeight="1">
      <c r="A6" s="524" t="s">
        <v>317</v>
      </c>
      <c r="B6" s="397">
        <v>222253.32</v>
      </c>
      <c r="C6" s="941">
        <v>240759.72</v>
      </c>
      <c r="D6" s="941">
        <v>349857.84</v>
      </c>
      <c r="E6" s="941">
        <f>D6*1.075</f>
        <v>376097.17800000001</v>
      </c>
      <c r="F6" s="941">
        <f>(E6+E8)</f>
        <v>310599.99800000002</v>
      </c>
      <c r="G6" s="537"/>
    </row>
    <row r="7" spans="1:11" ht="20.100000000000001" customHeight="1">
      <c r="A7" s="289" t="s">
        <v>330</v>
      </c>
      <c r="B7" s="367"/>
      <c r="C7" s="942"/>
      <c r="D7" s="942"/>
      <c r="E7" s="943"/>
      <c r="F7" s="943"/>
      <c r="G7" s="537"/>
      <c r="K7" s="292"/>
    </row>
    <row r="8" spans="1:11" ht="20.100000000000001" customHeight="1">
      <c r="A8" s="303" t="s">
        <v>417</v>
      </c>
      <c r="B8" s="663">
        <v>-17869</v>
      </c>
      <c r="C8" s="663">
        <v>-25813</v>
      </c>
      <c r="D8" s="746">
        <v>-82791.240000000005</v>
      </c>
      <c r="E8" s="921">
        <v>-65497.18</v>
      </c>
      <c r="F8" s="944"/>
      <c r="G8" s="537"/>
    </row>
    <row r="9" spans="1:11" ht="20.100000000000001" customHeight="1">
      <c r="A9" s="580" t="s">
        <v>623</v>
      </c>
      <c r="B9" s="464">
        <v>10437.700000000001</v>
      </c>
      <c r="C9" s="464">
        <v>10437.700000000001</v>
      </c>
      <c r="D9" s="464">
        <v>10600</v>
      </c>
      <c r="E9" s="906">
        <v>10600</v>
      </c>
      <c r="F9" s="583"/>
      <c r="G9" s="102"/>
    </row>
    <row r="10" spans="1:11" ht="20.100000000000001" customHeight="1">
      <c r="A10" s="581" t="s">
        <v>383</v>
      </c>
      <c r="B10" s="397">
        <v>10568.83</v>
      </c>
      <c r="C10" s="397">
        <v>8048</v>
      </c>
      <c r="D10" s="397">
        <v>11500</v>
      </c>
      <c r="E10" s="397">
        <v>13600</v>
      </c>
      <c r="F10" s="945">
        <f>E10+E11+E12</f>
        <v>16600</v>
      </c>
      <c r="H10" s="487"/>
    </row>
    <row r="11" spans="1:11" ht="20.100000000000001" customHeight="1">
      <c r="A11" s="354" t="s">
        <v>384</v>
      </c>
      <c r="B11" s="63">
        <v>2350.46</v>
      </c>
      <c r="C11" s="63">
        <v>2452</v>
      </c>
      <c r="D11" s="63"/>
      <c r="E11" s="63"/>
      <c r="F11" s="946"/>
      <c r="H11" s="487"/>
    </row>
    <row r="12" spans="1:11" ht="20.100000000000001" customHeight="1">
      <c r="A12" s="582" t="s">
        <v>385</v>
      </c>
      <c r="B12" s="370">
        <v>2500</v>
      </c>
      <c r="C12" s="370">
        <v>3000</v>
      </c>
      <c r="D12" s="370">
        <v>2100</v>
      </c>
      <c r="E12" s="370">
        <v>3000</v>
      </c>
      <c r="F12" s="947"/>
      <c r="G12" s="537"/>
      <c r="H12" s="851"/>
    </row>
    <row r="13" spans="1:11" ht="20.100000000000001" customHeight="1">
      <c r="A13" s="524" t="s">
        <v>241</v>
      </c>
      <c r="B13" s="465">
        <v>41633</v>
      </c>
      <c r="C13" s="465">
        <v>36743.928508249599</v>
      </c>
      <c r="D13" s="465">
        <v>36743.93</v>
      </c>
      <c r="E13" s="465">
        <f>'642 PAYROLL'!K35/100*'642 PAYROLL'!I59*'642 PAYROLL'!J59*'642 PAYROLL'!K59</f>
        <v>37225.240286361593</v>
      </c>
      <c r="F13" s="938">
        <f>SUM(E13:E18)</f>
        <v>37712.23838136319</v>
      </c>
      <c r="K13" s="292"/>
    </row>
    <row r="14" spans="1:11" ht="20.100000000000001" customHeight="1">
      <c r="A14" s="53" t="s">
        <v>242</v>
      </c>
      <c r="B14" s="302">
        <v>1059</v>
      </c>
      <c r="C14" s="302">
        <v>1046.0347559270401</v>
      </c>
      <c r="D14" s="302">
        <v>1046.03</v>
      </c>
      <c r="E14" s="302">
        <f>('642 PAYROLL'!K49-'642 PAYROLL'!K48)/100*'642 PAYROLL'!I60*'642 PAYROLL'!J60*'642 PAYROLL'!K60</f>
        <v>1412.3372950016001</v>
      </c>
      <c r="F14" s="948"/>
    </row>
    <row r="15" spans="1:11" ht="20.100000000000001" customHeight="1">
      <c r="A15" s="289" t="s">
        <v>56</v>
      </c>
      <c r="B15" s="497">
        <v>715</v>
      </c>
      <c r="C15" s="302">
        <v>443.52</v>
      </c>
      <c r="D15" s="302">
        <v>443.52</v>
      </c>
      <c r="E15" s="302">
        <f>'642 PAYROLL'!G61</f>
        <v>443.52</v>
      </c>
      <c r="F15" s="948"/>
    </row>
    <row r="16" spans="1:11" ht="20.100000000000001" customHeight="1">
      <c r="A16" s="289" t="s">
        <v>487</v>
      </c>
      <c r="B16" s="497">
        <v>325.75</v>
      </c>
      <c r="C16" s="302">
        <v>272.44800000000004</v>
      </c>
      <c r="D16" s="302">
        <v>272.45</v>
      </c>
      <c r="E16" s="302">
        <f>'642 PAYROLL'!K48/100*'642 PAYROLL'!I62*'642 PAYROLL'!J62*'642 PAYROLL'!K62</f>
        <v>211.904</v>
      </c>
      <c r="F16" s="948"/>
    </row>
    <row r="17" spans="1:6" ht="20.100000000000001" customHeight="1">
      <c r="A17" s="289" t="s">
        <v>496</v>
      </c>
      <c r="B17" s="366">
        <v>10</v>
      </c>
      <c r="C17" s="366">
        <v>8.2368000000000006</v>
      </c>
      <c r="D17" s="366">
        <v>8.24</v>
      </c>
      <c r="E17" s="366">
        <f>3000/100*'642 PAYROLL'!I63*'642 PAYROLL'!J63*'642 PAYROLL'!K63</f>
        <v>8.2368000000000006</v>
      </c>
      <c r="F17" s="948"/>
    </row>
    <row r="18" spans="1:6" ht="20.100000000000001" customHeight="1">
      <c r="A18" s="303" t="s">
        <v>457</v>
      </c>
      <c r="B18" s="866">
        <v>-2279</v>
      </c>
      <c r="C18" s="866">
        <v>-1589</v>
      </c>
      <c r="D18" s="866">
        <v>-1589</v>
      </c>
      <c r="E18" s="866">
        <f>'642 PAYROLL'!G64</f>
        <v>-1589</v>
      </c>
      <c r="F18" s="949"/>
    </row>
    <row r="19" spans="1:6" ht="20.100000000000001" customHeight="1">
      <c r="A19" s="289" t="s">
        <v>654</v>
      </c>
      <c r="B19" s="586">
        <v>15000</v>
      </c>
      <c r="C19" s="302">
        <v>15000</v>
      </c>
      <c r="D19" s="302">
        <v>15000</v>
      </c>
      <c r="E19" s="302">
        <v>20000</v>
      </c>
      <c r="F19" s="584"/>
    </row>
    <row r="20" spans="1:6" ht="20.100000000000001" customHeight="1">
      <c r="A20" s="525" t="s">
        <v>206</v>
      </c>
      <c r="B20" s="365">
        <v>480</v>
      </c>
      <c r="C20" s="365">
        <v>480</v>
      </c>
      <c r="D20" s="365">
        <v>480</v>
      </c>
      <c r="E20" s="365">
        <f>40*12</f>
        <v>480</v>
      </c>
      <c r="F20" s="938">
        <f>E20+E21+E22</f>
        <v>10872</v>
      </c>
    </row>
    <row r="21" spans="1:6" ht="20.100000000000001" customHeight="1">
      <c r="A21" s="61" t="s">
        <v>26</v>
      </c>
      <c r="B21" s="301">
        <v>7540</v>
      </c>
      <c r="C21" s="301">
        <v>9500</v>
      </c>
      <c r="D21" s="301">
        <v>9500</v>
      </c>
      <c r="E21" s="301">
        <f>866*12</f>
        <v>10392</v>
      </c>
      <c r="F21" s="939"/>
    </row>
    <row r="22" spans="1:6" ht="20.100000000000001" customHeight="1">
      <c r="A22" s="61" t="s">
        <v>434</v>
      </c>
      <c r="B22" s="301">
        <v>480</v>
      </c>
      <c r="C22" s="301">
        <v>0</v>
      </c>
      <c r="D22" s="301">
        <v>0</v>
      </c>
      <c r="E22" s="301">
        <v>0</v>
      </c>
      <c r="F22" s="940"/>
    </row>
    <row r="23" spans="1:6" ht="20.100000000000001" customHeight="1">
      <c r="A23" s="525" t="s">
        <v>371</v>
      </c>
      <c r="B23" s="661">
        <v>1500</v>
      </c>
      <c r="C23" s="661">
        <v>2000</v>
      </c>
      <c r="D23" s="661">
        <v>2000</v>
      </c>
      <c r="E23" s="661">
        <v>2000</v>
      </c>
    </row>
    <row r="24" spans="1:6" ht="20.100000000000001" customHeight="1">
      <c r="A24" s="664" t="s">
        <v>398</v>
      </c>
      <c r="B24" s="367">
        <v>175633.18</v>
      </c>
      <c r="C24" s="367">
        <v>177485.82</v>
      </c>
      <c r="D24" s="367">
        <v>189168.64000000001</v>
      </c>
      <c r="E24" s="367">
        <f>'642 PAYROLL'!G68</f>
        <v>202785.84479999999</v>
      </c>
    </row>
    <row r="25" spans="1:6" ht="20.100000000000001" customHeight="1">
      <c r="A25" s="665"/>
      <c r="B25" s="666"/>
      <c r="C25" s="666"/>
      <c r="D25" s="666"/>
      <c r="E25" s="666"/>
    </row>
    <row r="26" spans="1:6" ht="20.100000000000001" customHeight="1">
      <c r="A26" s="662" t="s">
        <v>569</v>
      </c>
      <c r="B26" s="663">
        <v>-17893.8</v>
      </c>
      <c r="C26" s="663"/>
      <c r="D26" s="663"/>
      <c r="E26" s="663"/>
    </row>
    <row r="27" spans="1:6" ht="20.100000000000001" customHeight="1">
      <c r="A27" s="459" t="s">
        <v>203</v>
      </c>
      <c r="B27" s="782">
        <f>SUM(B4:B26)</f>
        <v>604639.32000000007</v>
      </c>
      <c r="C27" s="782">
        <f>SUM(C4:C26)</f>
        <v>633785.40806417656</v>
      </c>
      <c r="D27" s="782">
        <f>SUM(D4:D26)</f>
        <v>705924.04</v>
      </c>
      <c r="E27" s="782">
        <f>SUM(E4:E26)</f>
        <v>781889.36040236312</v>
      </c>
    </row>
    <row r="28" spans="1:6" ht="11.25" customHeight="1">
      <c r="D28" s="102"/>
      <c r="E28" s="102"/>
    </row>
    <row r="29" spans="1:6">
      <c r="D29" s="435"/>
      <c r="E29" s="435"/>
    </row>
    <row r="30" spans="1:6" ht="15.75" customHeight="1"/>
  </sheetData>
  <mergeCells count="7">
    <mergeCell ref="F20:F22"/>
    <mergeCell ref="C6:C7"/>
    <mergeCell ref="D6:D7"/>
    <mergeCell ref="F6:F8"/>
    <mergeCell ref="F10:F12"/>
    <mergeCell ref="F13:F18"/>
    <mergeCell ref="E6:E7"/>
  </mergeCells>
  <pageMargins left="0.7" right="0.7" top="0.75" bottom="0.75" header="0.3" footer="0.3"/>
  <pageSetup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72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5" style="24" customWidth="1"/>
    <col min="2" max="2" width="4.140625" style="24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9" width="6.140625" style="24" customWidth="1"/>
    <col min="10" max="10" width="7.570312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>
      <c r="A1" s="870" t="s">
        <v>65</v>
      </c>
      <c r="B1" s="871" t="s">
        <v>66</v>
      </c>
      <c r="C1" s="538" t="s">
        <v>67</v>
      </c>
      <c r="D1" s="538" t="s">
        <v>68</v>
      </c>
      <c r="E1" s="538" t="s">
        <v>370</v>
      </c>
      <c r="F1" s="538" t="s">
        <v>456</v>
      </c>
      <c r="G1" s="538" t="s">
        <v>69</v>
      </c>
      <c r="H1" s="538" t="s">
        <v>651</v>
      </c>
      <c r="I1" s="538" t="s">
        <v>652</v>
      </c>
      <c r="J1" s="538" t="s">
        <v>453</v>
      </c>
      <c r="K1" s="538" t="s">
        <v>516</v>
      </c>
      <c r="L1" s="538" t="s">
        <v>381</v>
      </c>
      <c r="M1" s="804"/>
    </row>
    <row r="2" spans="1:19">
      <c r="A2" s="556" t="s">
        <v>363</v>
      </c>
      <c r="B2" s="557">
        <v>11</v>
      </c>
      <c r="C2" s="694">
        <f>M3+H2+I2</f>
        <v>23.63</v>
      </c>
      <c r="D2" s="549">
        <v>26</v>
      </c>
      <c r="E2" s="694">
        <f t="shared" ref="E2:E16" si="0">106*C2*D2</f>
        <v>65124.279999999992</v>
      </c>
      <c r="F2" s="694">
        <f t="shared" ref="F2:F16" si="1">9*C2*D2</f>
        <v>5529.42</v>
      </c>
      <c r="G2" s="694">
        <f t="shared" ref="G2:G16" si="2">E2+F2</f>
        <v>70653.7</v>
      </c>
      <c r="H2" s="549">
        <v>1.63</v>
      </c>
      <c r="I2" s="761">
        <f>P15</f>
        <v>1.4</v>
      </c>
      <c r="J2" s="874"/>
      <c r="K2" s="397">
        <f>G2+J2</f>
        <v>70653.7</v>
      </c>
      <c r="L2" s="882">
        <v>37878</v>
      </c>
    </row>
    <row r="3" spans="1:19">
      <c r="A3" s="550" t="s">
        <v>571</v>
      </c>
      <c r="B3" s="553">
        <v>10</v>
      </c>
      <c r="C3" s="695">
        <f>M3+H3+I3</f>
        <v>23.53</v>
      </c>
      <c r="D3" s="553">
        <v>26</v>
      </c>
      <c r="E3" s="695">
        <f t="shared" si="0"/>
        <v>64848.680000000008</v>
      </c>
      <c r="F3" s="695">
        <f t="shared" si="1"/>
        <v>5506.02</v>
      </c>
      <c r="G3" s="695">
        <f t="shared" si="2"/>
        <v>70354.700000000012</v>
      </c>
      <c r="H3" s="553">
        <v>1.63</v>
      </c>
      <c r="I3" s="762">
        <f>P14</f>
        <v>1.3</v>
      </c>
      <c r="J3" s="732"/>
      <c r="K3" s="63">
        <f t="shared" ref="K3:K29" si="3">G3+J3</f>
        <v>70354.700000000012</v>
      </c>
      <c r="L3" s="883">
        <v>38299</v>
      </c>
      <c r="M3" s="292">
        <f>(19.31+0.69)*1.03</f>
        <v>20.6</v>
      </c>
      <c r="P3" s="953" t="s">
        <v>485</v>
      </c>
      <c r="Q3" s="954"/>
      <c r="R3"/>
      <c r="S3"/>
    </row>
    <row r="4" spans="1:19">
      <c r="A4" s="796" t="s">
        <v>572</v>
      </c>
      <c r="B4" s="797">
        <v>9</v>
      </c>
      <c r="C4" s="696">
        <f>M3+H4+I4</f>
        <v>23.02</v>
      </c>
      <c r="D4" s="619">
        <v>26</v>
      </c>
      <c r="E4" s="696">
        <f t="shared" si="0"/>
        <v>63443.119999999995</v>
      </c>
      <c r="F4" s="696">
        <f t="shared" si="1"/>
        <v>5386.68</v>
      </c>
      <c r="G4" s="696">
        <f t="shared" si="2"/>
        <v>68829.799999999988</v>
      </c>
      <c r="H4" s="619">
        <v>1.22</v>
      </c>
      <c r="I4" s="763">
        <f>P13</f>
        <v>1.2</v>
      </c>
      <c r="J4" s="878"/>
      <c r="K4" s="370">
        <f t="shared" si="3"/>
        <v>68829.799999999988</v>
      </c>
      <c r="L4" s="884">
        <v>38942</v>
      </c>
      <c r="M4" s="292"/>
      <c r="P4" s="702" t="s">
        <v>532</v>
      </c>
      <c r="Q4" s="702" t="s">
        <v>533</v>
      </c>
    </row>
    <row r="5" spans="1:19">
      <c r="A5" s="548" t="s">
        <v>573</v>
      </c>
      <c r="B5" s="549">
        <v>14</v>
      </c>
      <c r="C5" s="698">
        <f>M6+I5+H5</f>
        <v>22.7685</v>
      </c>
      <c r="D5" s="549"/>
      <c r="E5" s="694">
        <f t="shared" si="0"/>
        <v>0</v>
      </c>
      <c r="F5" s="694">
        <f t="shared" si="1"/>
        <v>0</v>
      </c>
      <c r="G5" s="694">
        <f t="shared" si="2"/>
        <v>0</v>
      </c>
      <c r="H5" s="549">
        <v>1.55</v>
      </c>
      <c r="I5" s="761">
        <f>P18</f>
        <v>1.7</v>
      </c>
      <c r="J5" s="874"/>
      <c r="K5" s="889">
        <f t="shared" si="3"/>
        <v>0</v>
      </c>
      <c r="L5" s="882">
        <v>36878</v>
      </c>
      <c r="M5" s="805"/>
      <c r="N5" s="537"/>
      <c r="O5" s="537"/>
      <c r="P5" s="873">
        <v>0.25</v>
      </c>
      <c r="Q5" s="867">
        <v>1</v>
      </c>
    </row>
    <row r="6" spans="1:19">
      <c r="A6" s="550" t="s">
        <v>476</v>
      </c>
      <c r="B6" s="553">
        <v>10</v>
      </c>
      <c r="C6" s="698">
        <f>M6+I6+H6</f>
        <v>22.448499999999999</v>
      </c>
      <c r="D6" s="553">
        <v>26</v>
      </c>
      <c r="E6" s="695">
        <f t="shared" si="0"/>
        <v>61868.065999999992</v>
      </c>
      <c r="F6" s="695">
        <f t="shared" si="1"/>
        <v>5252.9489999999996</v>
      </c>
      <c r="G6" s="695">
        <f t="shared" si="2"/>
        <v>67121.014999999985</v>
      </c>
      <c r="H6" s="553">
        <v>1.63</v>
      </c>
      <c r="I6" s="762">
        <f>P14</f>
        <v>1.3</v>
      </c>
      <c r="J6" s="732"/>
      <c r="K6" s="63">
        <f t="shared" si="3"/>
        <v>67121.014999999985</v>
      </c>
      <c r="L6" s="883">
        <v>38249</v>
      </c>
      <c r="M6" s="806">
        <f>(18.06+0.89)*1.03</f>
        <v>19.5185</v>
      </c>
      <c r="N6" s="537"/>
      <c r="O6" s="537"/>
      <c r="P6" s="873">
        <v>0.45</v>
      </c>
      <c r="Q6" s="867">
        <v>2</v>
      </c>
    </row>
    <row r="7" spans="1:19">
      <c r="A7" s="550" t="s">
        <v>577</v>
      </c>
      <c r="B7" s="553">
        <v>9</v>
      </c>
      <c r="C7" s="695">
        <f>M6+I7+H7</f>
        <v>22.348499999999998</v>
      </c>
      <c r="D7" s="553">
        <v>26</v>
      </c>
      <c r="E7" s="695">
        <f t="shared" si="0"/>
        <v>61592.465999999993</v>
      </c>
      <c r="F7" s="695">
        <f t="shared" si="1"/>
        <v>5229.549</v>
      </c>
      <c r="G7" s="695">
        <f t="shared" si="2"/>
        <v>66822.014999999999</v>
      </c>
      <c r="H7" s="553">
        <v>1.63</v>
      </c>
      <c r="I7" s="762">
        <f>P13</f>
        <v>1.2</v>
      </c>
      <c r="J7" s="732">
        <v>200</v>
      </c>
      <c r="K7" s="63">
        <f t="shared" si="3"/>
        <v>67022.014999999999</v>
      </c>
      <c r="L7" s="883">
        <v>38677</v>
      </c>
      <c r="M7" s="806"/>
      <c r="N7" s="537"/>
      <c r="O7" s="537"/>
      <c r="P7" s="873">
        <v>0.6</v>
      </c>
      <c r="Q7" s="867">
        <v>3</v>
      </c>
    </row>
    <row r="8" spans="1:19">
      <c r="A8" s="554" t="s">
        <v>574</v>
      </c>
      <c r="B8" s="619">
        <v>7</v>
      </c>
      <c r="C8" s="696">
        <f>M6+I8+H8</f>
        <v>22.148499999999999</v>
      </c>
      <c r="D8" s="619">
        <v>26</v>
      </c>
      <c r="E8" s="696">
        <f t="shared" si="0"/>
        <v>61041.266000000003</v>
      </c>
      <c r="F8" s="696">
        <f t="shared" si="1"/>
        <v>5182.7489999999998</v>
      </c>
      <c r="G8" s="696">
        <f t="shared" si="2"/>
        <v>66224.014999999999</v>
      </c>
      <c r="H8" s="619">
        <v>1.63</v>
      </c>
      <c r="I8" s="763">
        <f>P11</f>
        <v>1</v>
      </c>
      <c r="J8" s="878">
        <v>200</v>
      </c>
      <c r="K8" s="370">
        <f t="shared" si="3"/>
        <v>66424.014999999999</v>
      </c>
      <c r="L8" s="884">
        <v>39380</v>
      </c>
      <c r="M8" s="807"/>
      <c r="N8" s="537"/>
      <c r="O8" s="537"/>
      <c r="P8" s="873">
        <v>0.7</v>
      </c>
      <c r="Q8" s="867">
        <v>4</v>
      </c>
    </row>
    <row r="9" spans="1:19">
      <c r="A9" s="548" t="s">
        <v>576</v>
      </c>
      <c r="B9" s="549">
        <v>13</v>
      </c>
      <c r="C9" s="694">
        <f>M10+I9+H9</f>
        <v>19.282200000000007</v>
      </c>
      <c r="D9" s="549">
        <v>26</v>
      </c>
      <c r="E9" s="694">
        <f t="shared" si="0"/>
        <v>53141.743200000019</v>
      </c>
      <c r="F9" s="694">
        <f t="shared" si="1"/>
        <v>4512.0348000000022</v>
      </c>
      <c r="G9" s="694">
        <f t="shared" si="2"/>
        <v>57653.77800000002</v>
      </c>
      <c r="H9" s="549">
        <v>0.44</v>
      </c>
      <c r="I9" s="761">
        <f>P17</f>
        <v>1.6</v>
      </c>
      <c r="J9" s="874"/>
      <c r="K9" s="889">
        <f t="shared" si="3"/>
        <v>57653.77800000002</v>
      </c>
      <c r="L9" s="882">
        <v>37277</v>
      </c>
      <c r="M9" s="808"/>
      <c r="N9" s="537"/>
      <c r="O9" s="537"/>
      <c r="P9" s="873">
        <v>0.8</v>
      </c>
      <c r="Q9" s="867">
        <v>5</v>
      </c>
    </row>
    <row r="10" spans="1:19">
      <c r="A10" s="550" t="s">
        <v>575</v>
      </c>
      <c r="B10" s="553">
        <v>11</v>
      </c>
      <c r="C10" s="697">
        <f>M10+I10+H10</f>
        <v>19.312200000000004</v>
      </c>
      <c r="D10" s="553">
        <v>26</v>
      </c>
      <c r="E10" s="695">
        <f t="shared" si="0"/>
        <v>53224.423200000012</v>
      </c>
      <c r="F10" s="695">
        <f t="shared" si="1"/>
        <v>4519.0548000000017</v>
      </c>
      <c r="G10" s="695">
        <f t="shared" si="2"/>
        <v>57743.478000000017</v>
      </c>
      <c r="H10" s="553">
        <v>0.67</v>
      </c>
      <c r="I10" s="762">
        <f>P15</f>
        <v>1.4</v>
      </c>
      <c r="J10" s="537">
        <v>200</v>
      </c>
      <c r="K10" s="63">
        <f t="shared" si="3"/>
        <v>57943.478000000017</v>
      </c>
      <c r="L10" s="883">
        <v>38215</v>
      </c>
      <c r="M10" s="808">
        <f>(16.14+0.6)*1.03</f>
        <v>17.242200000000004</v>
      </c>
      <c r="N10" s="537"/>
      <c r="O10" s="537"/>
      <c r="P10" s="873">
        <v>0.9</v>
      </c>
      <c r="Q10" s="867">
        <v>6</v>
      </c>
    </row>
    <row r="11" spans="1:19">
      <c r="A11" s="550" t="s">
        <v>364</v>
      </c>
      <c r="B11" s="553">
        <v>9</v>
      </c>
      <c r="C11" s="697">
        <f>M10+I11+H11</f>
        <v>19.962200000000003</v>
      </c>
      <c r="D11" s="553">
        <v>26</v>
      </c>
      <c r="E11" s="695">
        <f t="shared" si="0"/>
        <v>55015.823200000006</v>
      </c>
      <c r="F11" s="695">
        <f t="shared" si="1"/>
        <v>4671.1548000000003</v>
      </c>
      <c r="G11" s="695">
        <f t="shared" si="2"/>
        <v>59686.978000000003</v>
      </c>
      <c r="H11" s="553">
        <v>1.52</v>
      </c>
      <c r="I11" s="762">
        <f>P13</f>
        <v>1.2</v>
      </c>
      <c r="J11" s="732"/>
      <c r="K11" s="63">
        <f t="shared" si="3"/>
        <v>59686.978000000003</v>
      </c>
      <c r="L11" s="883">
        <v>38628</v>
      </c>
      <c r="M11" s="808"/>
      <c r="N11" s="537"/>
      <c r="O11" s="537"/>
      <c r="P11" s="873">
        <v>1</v>
      </c>
      <c r="Q11" s="867">
        <v>7</v>
      </c>
    </row>
    <row r="12" spans="1:19">
      <c r="A12" s="555" t="s">
        <v>454</v>
      </c>
      <c r="B12" s="620">
        <v>8</v>
      </c>
      <c r="C12" s="697">
        <f>M10+I12+H12</f>
        <v>19.972200000000004</v>
      </c>
      <c r="D12" s="620">
        <v>26</v>
      </c>
      <c r="E12" s="697">
        <f t="shared" si="0"/>
        <v>55043.383200000011</v>
      </c>
      <c r="F12" s="697">
        <f t="shared" si="1"/>
        <v>4673.4948000000013</v>
      </c>
      <c r="G12" s="697">
        <f t="shared" si="2"/>
        <v>59716.878000000012</v>
      </c>
      <c r="H12" s="553">
        <v>1.63</v>
      </c>
      <c r="I12" s="764">
        <f>P12</f>
        <v>1.1000000000000001</v>
      </c>
      <c r="J12" s="732">
        <v>200</v>
      </c>
      <c r="K12" s="63">
        <f t="shared" si="3"/>
        <v>59916.878000000012</v>
      </c>
      <c r="L12" s="885">
        <v>39033</v>
      </c>
      <c r="M12" s="808"/>
      <c r="N12" s="537"/>
      <c r="O12" s="537"/>
      <c r="P12" s="873">
        <v>1.1000000000000001</v>
      </c>
      <c r="Q12" s="867">
        <v>8</v>
      </c>
      <c r="R12" s="867"/>
      <c r="S12" s="537"/>
    </row>
    <row r="13" spans="1:19">
      <c r="A13" s="550" t="s">
        <v>578</v>
      </c>
      <c r="B13" s="553">
        <v>8</v>
      </c>
      <c r="C13" s="695">
        <f>M10+I13+H13</f>
        <v>18.992200000000004</v>
      </c>
      <c r="D13" s="553">
        <v>26</v>
      </c>
      <c r="E13" s="695">
        <f>106*C13*D13</f>
        <v>52342.503200000014</v>
      </c>
      <c r="F13" s="695">
        <f>9*C13*D13</f>
        <v>4444.1748000000007</v>
      </c>
      <c r="G13" s="695">
        <f>E13+F13</f>
        <v>56786.678000000014</v>
      </c>
      <c r="H13" s="553">
        <v>0.65</v>
      </c>
      <c r="I13" s="762">
        <f>P12</f>
        <v>1.1000000000000001</v>
      </c>
      <c r="J13" s="732">
        <v>200</v>
      </c>
      <c r="K13" s="63">
        <f t="shared" si="3"/>
        <v>56986.678000000014</v>
      </c>
      <c r="L13" s="883">
        <v>39033</v>
      </c>
      <c r="N13" s="537"/>
      <c r="O13" s="537"/>
      <c r="P13" s="873">
        <v>1.2</v>
      </c>
      <c r="Q13" s="867">
        <v>9</v>
      </c>
    </row>
    <row r="14" spans="1:19">
      <c r="A14" s="554" t="s">
        <v>483</v>
      </c>
      <c r="B14" s="619">
        <v>7</v>
      </c>
      <c r="C14" s="696">
        <f>M10+I14+H14</f>
        <v>19.872200000000003</v>
      </c>
      <c r="D14" s="619">
        <v>26</v>
      </c>
      <c r="E14" s="696">
        <f t="shared" si="0"/>
        <v>54767.783200000013</v>
      </c>
      <c r="F14" s="696">
        <f t="shared" si="1"/>
        <v>4650.0948000000008</v>
      </c>
      <c r="G14" s="696">
        <f t="shared" si="2"/>
        <v>59417.878000000012</v>
      </c>
      <c r="H14" s="619">
        <v>1.63</v>
      </c>
      <c r="I14" s="763">
        <f>P11</f>
        <v>1</v>
      </c>
      <c r="J14" s="878">
        <v>200</v>
      </c>
      <c r="K14" s="370">
        <f t="shared" si="3"/>
        <v>59617.878000000012</v>
      </c>
      <c r="L14" s="884">
        <v>39377</v>
      </c>
      <c r="M14" s="807"/>
      <c r="N14" s="537"/>
      <c r="O14" s="537"/>
      <c r="P14" s="873">
        <v>1.3</v>
      </c>
      <c r="Q14" s="867">
        <v>10</v>
      </c>
    </row>
    <row r="15" spans="1:19">
      <c r="A15" s="556" t="s">
        <v>486</v>
      </c>
      <c r="B15" s="557">
        <v>9</v>
      </c>
      <c r="C15" s="698">
        <f>M16+I15+H15</f>
        <v>16.665099999999999</v>
      </c>
      <c r="D15" s="557">
        <v>26</v>
      </c>
      <c r="E15" s="698">
        <f t="shared" si="0"/>
        <v>45929.015599999999</v>
      </c>
      <c r="F15" s="698">
        <f t="shared" si="1"/>
        <v>3899.6333999999997</v>
      </c>
      <c r="G15" s="698">
        <f t="shared" si="2"/>
        <v>49828.648999999998</v>
      </c>
      <c r="H15" s="557">
        <v>0.87</v>
      </c>
      <c r="I15" s="765">
        <f>P13</f>
        <v>1.2</v>
      </c>
      <c r="J15" s="879"/>
      <c r="K15" s="889">
        <f t="shared" si="3"/>
        <v>49828.648999999998</v>
      </c>
      <c r="L15" s="886">
        <v>38942</v>
      </c>
      <c r="M15" s="872"/>
      <c r="P15" s="873">
        <v>1.4</v>
      </c>
      <c r="Q15" s="867">
        <v>11</v>
      </c>
    </row>
    <row r="16" spans="1:19">
      <c r="A16" s="550" t="s">
        <v>365</v>
      </c>
      <c r="B16" s="553">
        <v>7</v>
      </c>
      <c r="C16" s="698">
        <f>M16+I16+H16</f>
        <v>16.165099999999999</v>
      </c>
      <c r="D16" s="553">
        <v>26</v>
      </c>
      <c r="E16" s="695">
        <f t="shared" si="0"/>
        <v>44551.015599999999</v>
      </c>
      <c r="F16" s="695">
        <f t="shared" si="1"/>
        <v>3782.6333999999997</v>
      </c>
      <c r="G16" s="695">
        <f t="shared" si="2"/>
        <v>48333.648999999998</v>
      </c>
      <c r="H16" s="553">
        <v>0.56999999999999995</v>
      </c>
      <c r="I16" s="762">
        <f>P11</f>
        <v>1</v>
      </c>
      <c r="J16" s="732"/>
      <c r="K16" s="63">
        <f t="shared" si="3"/>
        <v>48333.648999999998</v>
      </c>
      <c r="L16" s="883">
        <v>39378</v>
      </c>
      <c r="M16" s="809">
        <f>(14.08+0.09)*1.03</f>
        <v>14.5951</v>
      </c>
      <c r="N16" s="24" t="s">
        <v>367</v>
      </c>
      <c r="P16" s="873">
        <v>1.5</v>
      </c>
      <c r="Q16" s="867">
        <v>12</v>
      </c>
    </row>
    <row r="17" spans="1:17">
      <c r="A17" s="550" t="s">
        <v>366</v>
      </c>
      <c r="B17" s="553">
        <v>7</v>
      </c>
      <c r="C17" s="698">
        <f>M16+I17+H17</f>
        <v>17.225100000000001</v>
      </c>
      <c r="D17" s="553">
        <v>26</v>
      </c>
      <c r="E17" s="695">
        <f>106*C17*D17</f>
        <v>47472.375600000007</v>
      </c>
      <c r="F17" s="695">
        <f>9*C17*D17</f>
        <v>4030.6734000000001</v>
      </c>
      <c r="G17" s="695">
        <f>E17+F17</f>
        <v>51503.049000000006</v>
      </c>
      <c r="H17" s="553">
        <v>1.63</v>
      </c>
      <c r="I17" s="762">
        <f>P11</f>
        <v>1</v>
      </c>
      <c r="J17" s="732"/>
      <c r="K17" s="63">
        <f t="shared" si="3"/>
        <v>51503.049000000006</v>
      </c>
      <c r="L17" s="883">
        <v>39489</v>
      </c>
      <c r="P17" s="873">
        <v>1.6</v>
      </c>
      <c r="Q17" s="867">
        <v>13</v>
      </c>
    </row>
    <row r="18" spans="1:17">
      <c r="A18" s="550" t="s">
        <v>482</v>
      </c>
      <c r="B18" s="553">
        <v>7</v>
      </c>
      <c r="C18" s="698">
        <f>M16+I18+H18</f>
        <v>17.115100000000002</v>
      </c>
      <c r="D18" s="553">
        <v>26</v>
      </c>
      <c r="E18" s="695">
        <f>106*C18*D18</f>
        <v>47169.215600000003</v>
      </c>
      <c r="F18" s="695">
        <f>9*C18*D18</f>
        <v>4004.9334000000008</v>
      </c>
      <c r="G18" s="695">
        <f>E18+F18</f>
        <v>51174.149000000005</v>
      </c>
      <c r="H18" s="553">
        <v>1.52</v>
      </c>
      <c r="I18" s="762">
        <f>P11</f>
        <v>1</v>
      </c>
      <c r="J18" s="732"/>
      <c r="K18" s="63">
        <f t="shared" si="3"/>
        <v>51174.149000000005</v>
      </c>
      <c r="L18" s="883">
        <v>39649</v>
      </c>
      <c r="M18" s="809">
        <f>13.3*1.03</f>
        <v>13.699000000000002</v>
      </c>
      <c r="N18" s="24" t="s">
        <v>368</v>
      </c>
      <c r="P18" s="873">
        <v>1.7</v>
      </c>
      <c r="Q18" s="867">
        <v>14</v>
      </c>
    </row>
    <row r="19" spans="1:17">
      <c r="A19" s="550" t="s">
        <v>431</v>
      </c>
      <c r="B19" s="553">
        <v>6</v>
      </c>
      <c r="C19" s="698">
        <f>M16+I19+H19</f>
        <v>17.1251</v>
      </c>
      <c r="D19" s="553">
        <v>26</v>
      </c>
      <c r="E19" s="695">
        <f t="shared" ref="E19:E28" si="4">106*C19*D19</f>
        <v>47196.775600000001</v>
      </c>
      <c r="F19" s="695">
        <f t="shared" ref="F19:F28" si="5">9*C19*D19</f>
        <v>4007.2734</v>
      </c>
      <c r="G19" s="695">
        <f t="shared" ref="G19:G28" si="6">E19+F19</f>
        <v>51204.048999999999</v>
      </c>
      <c r="H19" s="553">
        <v>1.63</v>
      </c>
      <c r="I19" s="762">
        <f>P10</f>
        <v>0.9</v>
      </c>
      <c r="J19" s="732">
        <v>200</v>
      </c>
      <c r="K19" s="63">
        <f t="shared" si="3"/>
        <v>51404.048999999999</v>
      </c>
      <c r="L19" s="883">
        <v>39860</v>
      </c>
      <c r="M19" s="806"/>
      <c r="N19" s="102"/>
      <c r="P19" s="873">
        <v>1.8</v>
      </c>
      <c r="Q19" s="867">
        <v>15</v>
      </c>
    </row>
    <row r="20" spans="1:17">
      <c r="A20" s="550" t="s">
        <v>629</v>
      </c>
      <c r="B20" s="553">
        <v>6</v>
      </c>
      <c r="C20" s="698">
        <f>M16+I20+H20</f>
        <v>16.805099999999999</v>
      </c>
      <c r="D20" s="553">
        <v>26</v>
      </c>
      <c r="E20" s="695">
        <f t="shared" si="4"/>
        <v>46314.855600000003</v>
      </c>
      <c r="F20" s="695">
        <f t="shared" si="5"/>
        <v>3932.3933999999999</v>
      </c>
      <c r="G20" s="695">
        <f t="shared" si="6"/>
        <v>50247.249000000003</v>
      </c>
      <c r="H20" s="553">
        <v>1.31</v>
      </c>
      <c r="I20" s="762">
        <f>P10</f>
        <v>0.9</v>
      </c>
      <c r="J20" s="732">
        <v>200</v>
      </c>
      <c r="K20" s="63">
        <f t="shared" si="3"/>
        <v>50447.249000000003</v>
      </c>
      <c r="L20" s="883">
        <v>39987</v>
      </c>
      <c r="M20" s="806"/>
      <c r="N20" s="102"/>
      <c r="P20" s="873">
        <v>1.9</v>
      </c>
      <c r="Q20" s="867">
        <v>16</v>
      </c>
    </row>
    <row r="21" spans="1:17">
      <c r="A21" s="550" t="s">
        <v>414</v>
      </c>
      <c r="B21" s="553">
        <v>6</v>
      </c>
      <c r="C21" s="698">
        <f>M16+I21+H21</f>
        <v>16.935100000000002</v>
      </c>
      <c r="D21" s="553">
        <v>26</v>
      </c>
      <c r="E21" s="695">
        <f t="shared" si="4"/>
        <v>46673.135600000009</v>
      </c>
      <c r="F21" s="695">
        <f t="shared" si="5"/>
        <v>3962.8134000000005</v>
      </c>
      <c r="G21" s="695">
        <f t="shared" si="6"/>
        <v>50635.949000000008</v>
      </c>
      <c r="H21" s="553">
        <v>1.44</v>
      </c>
      <c r="I21" s="762">
        <f>P10</f>
        <v>0.9</v>
      </c>
      <c r="J21" s="732">
        <v>200</v>
      </c>
      <c r="K21" s="63">
        <f t="shared" si="3"/>
        <v>50835.949000000008</v>
      </c>
      <c r="L21" s="883">
        <v>39987</v>
      </c>
      <c r="M21" s="806"/>
      <c r="N21" s="102"/>
      <c r="P21" s="873">
        <v>2</v>
      </c>
      <c r="Q21" s="867">
        <v>17</v>
      </c>
    </row>
    <row r="22" spans="1:17">
      <c r="A22" s="550" t="s">
        <v>432</v>
      </c>
      <c r="B22" s="553">
        <v>5</v>
      </c>
      <c r="C22" s="698">
        <f>M16+I22+H22</f>
        <v>16.2651</v>
      </c>
      <c r="D22" s="553">
        <v>26</v>
      </c>
      <c r="E22" s="695">
        <f t="shared" ref="E22:E26" si="7">106*C22*D22</f>
        <v>44826.615599999997</v>
      </c>
      <c r="F22" s="695">
        <f t="shared" ref="F22:F26" si="8">9*C22*D22</f>
        <v>3806.0333999999998</v>
      </c>
      <c r="G22" s="695">
        <f t="shared" ref="G22:G26" si="9">E22+F22</f>
        <v>48632.648999999998</v>
      </c>
      <c r="H22" s="553">
        <v>0.87</v>
      </c>
      <c r="I22" s="762">
        <f>P9</f>
        <v>0.8</v>
      </c>
      <c r="J22" s="732">
        <v>200</v>
      </c>
      <c r="K22" s="63">
        <f t="shared" si="3"/>
        <v>48832.648999999998</v>
      </c>
      <c r="L22" s="883">
        <v>40078</v>
      </c>
      <c r="M22" s="806"/>
      <c r="N22" s="102"/>
      <c r="P22" s="873">
        <v>2.1</v>
      </c>
      <c r="Q22" s="867">
        <v>18</v>
      </c>
    </row>
    <row r="23" spans="1:17">
      <c r="A23" s="555" t="s">
        <v>460</v>
      </c>
      <c r="B23" s="620">
        <v>5</v>
      </c>
      <c r="C23" s="698">
        <f>M16+I23+H23</f>
        <v>16.615100000000002</v>
      </c>
      <c r="D23" s="620">
        <v>26</v>
      </c>
      <c r="E23" s="697">
        <f t="shared" si="7"/>
        <v>45791.215600000003</v>
      </c>
      <c r="F23" s="697">
        <f t="shared" si="8"/>
        <v>3887.9334000000008</v>
      </c>
      <c r="G23" s="697">
        <f t="shared" si="9"/>
        <v>49679.149000000005</v>
      </c>
      <c r="H23" s="553">
        <v>1.22</v>
      </c>
      <c r="I23" s="764">
        <f>P9</f>
        <v>0.8</v>
      </c>
      <c r="J23" s="732">
        <v>200</v>
      </c>
      <c r="K23" s="63">
        <f t="shared" si="3"/>
        <v>49879.149000000005</v>
      </c>
      <c r="L23" s="885">
        <v>40419</v>
      </c>
      <c r="M23" s="806"/>
      <c r="N23" s="102"/>
      <c r="P23" s="873">
        <v>2.2000000000000002</v>
      </c>
      <c r="Q23" s="867">
        <v>19</v>
      </c>
    </row>
    <row r="24" spans="1:17">
      <c r="A24" s="563" t="s">
        <v>484</v>
      </c>
      <c r="B24" s="620">
        <v>4</v>
      </c>
      <c r="C24" s="698">
        <f>M16+I24+H24</f>
        <v>16.815100000000001</v>
      </c>
      <c r="D24" s="564">
        <v>26</v>
      </c>
      <c r="E24" s="699">
        <f t="shared" si="7"/>
        <v>46342.415600000008</v>
      </c>
      <c r="F24" s="699">
        <f t="shared" si="8"/>
        <v>3934.7334000000001</v>
      </c>
      <c r="G24" s="699">
        <f t="shared" si="9"/>
        <v>50277.149000000005</v>
      </c>
      <c r="H24" s="81">
        <v>1.52</v>
      </c>
      <c r="I24" s="766">
        <f>P8</f>
        <v>0.7</v>
      </c>
      <c r="J24" s="732"/>
      <c r="K24" s="63">
        <f t="shared" si="3"/>
        <v>50277.149000000005</v>
      </c>
      <c r="L24" s="887">
        <v>40567</v>
      </c>
      <c r="M24" s="806"/>
      <c r="N24" s="102"/>
      <c r="P24" s="873">
        <v>2.2999999999999998</v>
      </c>
      <c r="Q24" s="867">
        <v>20</v>
      </c>
    </row>
    <row r="25" spans="1:17">
      <c r="A25" s="800" t="s">
        <v>528</v>
      </c>
      <c r="B25" s="553">
        <v>3</v>
      </c>
      <c r="C25" s="695">
        <f>M16+I25+H25</f>
        <v>15.415100000000001</v>
      </c>
      <c r="D25" s="553">
        <v>26</v>
      </c>
      <c r="E25" s="695">
        <f t="shared" si="7"/>
        <v>42484.015599999999</v>
      </c>
      <c r="F25" s="695">
        <f t="shared" si="8"/>
        <v>3607.1334000000006</v>
      </c>
      <c r="G25" s="695">
        <f t="shared" si="9"/>
        <v>46091.148999999998</v>
      </c>
      <c r="H25" s="553">
        <v>0.22</v>
      </c>
      <c r="I25" s="762">
        <f>P7</f>
        <v>0.6</v>
      </c>
      <c r="J25" s="880">
        <v>200</v>
      </c>
      <c r="K25" s="63">
        <f t="shared" si="3"/>
        <v>46291.148999999998</v>
      </c>
      <c r="L25" s="883">
        <v>40915</v>
      </c>
      <c r="M25" s="806"/>
      <c r="N25" s="102"/>
      <c r="P25" s="873">
        <v>2.4</v>
      </c>
      <c r="Q25" s="867">
        <v>21</v>
      </c>
    </row>
    <row r="26" spans="1:17">
      <c r="A26" s="326" t="s">
        <v>529</v>
      </c>
      <c r="B26" s="553">
        <v>3</v>
      </c>
      <c r="C26" s="695">
        <f>M16+I26+H26</f>
        <v>15.7651</v>
      </c>
      <c r="D26" s="553">
        <v>26</v>
      </c>
      <c r="E26" s="695">
        <f t="shared" si="7"/>
        <v>43448.615599999997</v>
      </c>
      <c r="F26" s="695">
        <f t="shared" si="8"/>
        <v>3689.0333999999998</v>
      </c>
      <c r="G26" s="695">
        <f t="shared" si="9"/>
        <v>47137.648999999998</v>
      </c>
      <c r="H26" s="553">
        <v>0.56999999999999995</v>
      </c>
      <c r="I26" s="762">
        <f>P7</f>
        <v>0.6</v>
      </c>
      <c r="J26" s="880">
        <v>200</v>
      </c>
      <c r="K26" s="63">
        <f t="shared" si="3"/>
        <v>47337.648999999998</v>
      </c>
      <c r="L26" s="883">
        <v>40939</v>
      </c>
      <c r="M26" s="806"/>
      <c r="N26" s="102"/>
      <c r="P26" s="873">
        <v>2.5</v>
      </c>
      <c r="Q26" s="867">
        <v>22</v>
      </c>
    </row>
    <row r="27" spans="1:17">
      <c r="A27" s="326" t="s">
        <v>579</v>
      </c>
      <c r="B27" s="553">
        <v>2</v>
      </c>
      <c r="C27" s="695">
        <f>M16+I27+H27</f>
        <v>15.395099999999999</v>
      </c>
      <c r="D27" s="553">
        <v>26</v>
      </c>
      <c r="E27" s="695">
        <f t="shared" si="4"/>
        <v>42428.895599999996</v>
      </c>
      <c r="F27" s="695">
        <f t="shared" si="5"/>
        <v>3602.4534000000003</v>
      </c>
      <c r="G27" s="695">
        <f t="shared" si="6"/>
        <v>46031.348999999995</v>
      </c>
      <c r="H27" s="553">
        <v>0.35</v>
      </c>
      <c r="I27" s="762">
        <f>P6</f>
        <v>0.45</v>
      </c>
      <c r="J27" s="880"/>
      <c r="K27" s="63">
        <f t="shared" si="3"/>
        <v>46031.348999999995</v>
      </c>
      <c r="L27" s="883">
        <v>41352</v>
      </c>
      <c r="M27" s="806"/>
      <c r="N27" s="102"/>
      <c r="P27" s="873">
        <v>2.6</v>
      </c>
      <c r="Q27" s="867">
        <v>23</v>
      </c>
    </row>
    <row r="28" spans="1:17">
      <c r="A28" s="326" t="s">
        <v>580</v>
      </c>
      <c r="B28" s="553">
        <v>2</v>
      </c>
      <c r="C28" s="695">
        <f>M16+I28+H28</f>
        <v>15.395099999999999</v>
      </c>
      <c r="D28" s="553">
        <v>26</v>
      </c>
      <c r="E28" s="695">
        <f t="shared" si="4"/>
        <v>42428.895599999996</v>
      </c>
      <c r="F28" s="695">
        <f t="shared" si="5"/>
        <v>3602.4534000000003</v>
      </c>
      <c r="G28" s="695">
        <f t="shared" si="6"/>
        <v>46031.348999999995</v>
      </c>
      <c r="H28" s="553">
        <v>0.35</v>
      </c>
      <c r="I28" s="762">
        <f>P6</f>
        <v>0.45</v>
      </c>
      <c r="J28" s="880"/>
      <c r="K28" s="63">
        <f t="shared" si="3"/>
        <v>46031.348999999995</v>
      </c>
      <c r="L28" s="883">
        <v>41365</v>
      </c>
      <c r="M28" s="810"/>
      <c r="N28" s="102"/>
      <c r="P28" s="873">
        <v>2.7</v>
      </c>
      <c r="Q28" s="867">
        <v>24</v>
      </c>
    </row>
    <row r="29" spans="1:17">
      <c r="A29" s="796" t="s">
        <v>650</v>
      </c>
      <c r="B29" s="797">
        <v>1</v>
      </c>
      <c r="C29" s="868">
        <f>M16+I29+H29</f>
        <v>15.1951</v>
      </c>
      <c r="D29" s="797">
        <v>26</v>
      </c>
      <c r="E29" s="868">
        <f t="shared" ref="E29" si="10">106*C29*D29</f>
        <v>41877.695599999999</v>
      </c>
      <c r="F29" s="868">
        <f t="shared" ref="F29" si="11">9*C29*D29</f>
        <v>3555.6534000000001</v>
      </c>
      <c r="G29" s="868">
        <f t="shared" ref="G29" si="12">E29+F29</f>
        <v>45433.349000000002</v>
      </c>
      <c r="H29" s="797">
        <v>0.35</v>
      </c>
      <c r="I29" s="869">
        <f>P5</f>
        <v>0.25</v>
      </c>
      <c r="J29" s="881">
        <v>200</v>
      </c>
      <c r="K29" s="370">
        <f t="shared" si="3"/>
        <v>45633.349000000002</v>
      </c>
      <c r="L29" s="888">
        <v>41701</v>
      </c>
      <c r="M29" s="798"/>
      <c r="N29" s="700"/>
      <c r="P29" s="873">
        <v>2.8</v>
      </c>
      <c r="Q29" s="867">
        <v>25</v>
      </c>
    </row>
    <row r="30" spans="1:17">
      <c r="C30" s="700"/>
      <c r="H30" s="24" t="s">
        <v>151</v>
      </c>
      <c r="I30" s="701"/>
      <c r="J30" s="904"/>
      <c r="M30" s="292"/>
      <c r="N30" s="537"/>
      <c r="O30"/>
      <c r="P30" s="873">
        <v>2.9</v>
      </c>
      <c r="Q30" s="867">
        <v>26</v>
      </c>
    </row>
    <row r="31" spans="1:17" ht="13.5">
      <c r="A31" s="548" t="s">
        <v>70</v>
      </c>
      <c r="B31" s="821">
        <f>AVERAGE(B2:B29)</f>
        <v>7.1071428571428568</v>
      </c>
      <c r="C31" s="822">
        <f>AVERAGE(C2:C29)</f>
        <v>18.649417857142858</v>
      </c>
      <c r="D31" s="549"/>
      <c r="E31" s="822">
        <f>SUM(E2:E29)</f>
        <v>1376388.2912000001</v>
      </c>
      <c r="F31" s="694">
        <f>SUM(F2:F29)</f>
        <v>116863.1568</v>
      </c>
      <c r="G31" s="822">
        <f>SUM(G2:G29)</f>
        <v>1493251.4479999999</v>
      </c>
      <c r="H31" s="822">
        <f>AVERAGE(H2:H29)</f>
        <v>1.1385714285714286</v>
      </c>
      <c r="I31" s="822">
        <f>AVERAGE(I2:I29)</f>
        <v>1.0017857142857143</v>
      </c>
      <c r="J31" s="823">
        <f>SUM(J2:J29)</f>
        <v>2800</v>
      </c>
      <c r="K31" s="827">
        <f>SUM(K2:K29)</f>
        <v>1496051.4479999999</v>
      </c>
      <c r="L31" s="537"/>
      <c r="M31" s="808"/>
      <c r="O31"/>
      <c r="P31" s="873">
        <v>3</v>
      </c>
      <c r="Q31" s="867">
        <v>27</v>
      </c>
    </row>
    <row r="32" spans="1:17">
      <c r="A32" s="550" t="s">
        <v>71</v>
      </c>
      <c r="B32" s="553"/>
      <c r="C32" s="553" t="s">
        <v>488</v>
      </c>
      <c r="D32" s="553"/>
      <c r="E32" s="553"/>
      <c r="F32" s="553"/>
      <c r="G32" s="553"/>
      <c r="H32" s="553"/>
      <c r="I32" s="732"/>
      <c r="J32" s="732"/>
      <c r="K32" s="621">
        <v>100000</v>
      </c>
      <c r="L32" s="537"/>
      <c r="M32" s="808"/>
      <c r="P32" s="873">
        <v>3.1</v>
      </c>
      <c r="Q32" s="867">
        <v>28</v>
      </c>
    </row>
    <row r="33" spans="1:18" ht="15" customHeight="1">
      <c r="A33" s="550" t="s">
        <v>193</v>
      </c>
      <c r="B33" s="553"/>
      <c r="C33" s="553" t="s">
        <v>598</v>
      </c>
      <c r="D33" s="553"/>
      <c r="E33" s="553"/>
      <c r="F33" s="553"/>
      <c r="G33" s="553"/>
      <c r="H33" s="553"/>
      <c r="I33" s="732"/>
      <c r="J33" s="732"/>
      <c r="K33" s="621">
        <v>19000</v>
      </c>
      <c r="L33" s="537"/>
      <c r="M33" s="808"/>
      <c r="P33" s="873">
        <v>3.2</v>
      </c>
      <c r="Q33" s="867">
        <v>29</v>
      </c>
    </row>
    <row r="34" spans="1:18" ht="15" customHeight="1">
      <c r="A34" s="550" t="s">
        <v>531</v>
      </c>
      <c r="B34" s="553"/>
      <c r="C34" s="553"/>
      <c r="D34" s="553"/>
      <c r="E34" s="553"/>
      <c r="F34" s="551"/>
      <c r="G34" s="551"/>
      <c r="H34" s="551"/>
      <c r="I34" s="575"/>
      <c r="J34" s="575"/>
      <c r="K34" s="589">
        <v>22000</v>
      </c>
      <c r="L34" s="537"/>
      <c r="M34" s="808">
        <f>11.79*1.03</f>
        <v>12.143699999999999</v>
      </c>
      <c r="P34" s="873">
        <v>3.3</v>
      </c>
      <c r="Q34" s="867">
        <v>30</v>
      </c>
    </row>
    <row r="35" spans="1:18" ht="15" customHeight="1" thickBot="1">
      <c r="A35" s="558"/>
      <c r="B35" s="559"/>
      <c r="C35" s="559"/>
      <c r="D35" s="559"/>
      <c r="E35" s="559"/>
      <c r="F35" s="559"/>
      <c r="G35" s="559" t="s">
        <v>74</v>
      </c>
      <c r="H35" s="559"/>
      <c r="I35" s="560"/>
      <c r="J35" s="560"/>
      <c r="K35" s="828">
        <f>SUM(K31:K34)</f>
        <v>1637051.4479999999</v>
      </c>
      <c r="L35" s="537"/>
      <c r="M35" s="16"/>
      <c r="N35"/>
      <c r="O35"/>
    </row>
    <row r="36" spans="1:18" ht="18.75" customHeight="1">
      <c r="A36" s="537" t="s">
        <v>415</v>
      </c>
      <c r="B36" s="537"/>
      <c r="C36" s="537"/>
      <c r="D36" s="537"/>
      <c r="E36" s="537"/>
      <c r="F36" s="537"/>
      <c r="G36" s="537"/>
      <c r="H36" s="537"/>
      <c r="I36" s="537"/>
      <c r="J36" s="537"/>
      <c r="K36" s="537"/>
      <c r="L36" s="537"/>
      <c r="M36" s="808"/>
    </row>
    <row r="37" spans="1:18" ht="27.75" customHeight="1">
      <c r="A37" s="561" t="s">
        <v>391</v>
      </c>
      <c r="B37" s="538" t="s">
        <v>66</v>
      </c>
      <c r="C37" s="538" t="s">
        <v>67</v>
      </c>
      <c r="D37" s="538" t="s">
        <v>68</v>
      </c>
      <c r="E37" s="538" t="s">
        <v>390</v>
      </c>
      <c r="F37" s="538" t="s">
        <v>441</v>
      </c>
      <c r="G37" s="538" t="s">
        <v>69</v>
      </c>
      <c r="H37" s="538" t="s">
        <v>651</v>
      </c>
      <c r="I37" s="538" t="s">
        <v>652</v>
      </c>
      <c r="J37" s="538"/>
      <c r="K37" s="562" t="s">
        <v>389</v>
      </c>
      <c r="L37" s="538" t="s">
        <v>381</v>
      </c>
      <c r="M37" s="811"/>
      <c r="P37" s="576"/>
      <c r="Q37" s="574"/>
    </row>
    <row r="38" spans="1:18" ht="18" customHeight="1">
      <c r="A38" s="550" t="s">
        <v>530</v>
      </c>
      <c r="B38" s="553">
        <v>9</v>
      </c>
      <c r="C38" s="695">
        <f>M38+I38</f>
        <v>54.451000000000001</v>
      </c>
      <c r="D38" s="553">
        <v>26</v>
      </c>
      <c r="E38" s="695">
        <f>C38*D38*80</f>
        <v>113258.08000000002</v>
      </c>
      <c r="F38" s="695"/>
      <c r="G38" s="695">
        <f t="shared" ref="G38:G46" si="13">E38+F38</f>
        <v>113258.08000000002</v>
      </c>
      <c r="H38" s="894"/>
      <c r="I38" s="895">
        <f>P13</f>
        <v>1.2</v>
      </c>
      <c r="J38" s="890">
        <v>200</v>
      </c>
      <c r="K38" s="621">
        <f>G38+J38</f>
        <v>113458.08000000002</v>
      </c>
      <c r="L38" s="801">
        <v>38626</v>
      </c>
      <c r="M38" s="799">
        <f>(48.51+3.19)*1.03</f>
        <v>53.250999999999998</v>
      </c>
      <c r="P38" s="576"/>
      <c r="Q38" s="574"/>
    </row>
    <row r="39" spans="1:18" ht="18" customHeight="1">
      <c r="A39" s="550" t="s">
        <v>369</v>
      </c>
      <c r="B39" s="553">
        <v>14</v>
      </c>
      <c r="C39" s="695">
        <f>M39+N39+I39+H39</f>
        <v>44.286900000000003</v>
      </c>
      <c r="D39" s="553">
        <v>26</v>
      </c>
      <c r="E39" s="695">
        <f>C39*D39*80</f>
        <v>92116.752000000008</v>
      </c>
      <c r="F39" s="695"/>
      <c r="G39" s="695">
        <f t="shared" si="13"/>
        <v>92116.752000000008</v>
      </c>
      <c r="H39" s="894">
        <v>1.18</v>
      </c>
      <c r="I39" s="895">
        <f>P18</f>
        <v>1.7</v>
      </c>
      <c r="J39" s="890"/>
      <c r="K39" s="621">
        <f>G39+J39</f>
        <v>92116.752000000008</v>
      </c>
      <c r="L39" s="801">
        <v>37009</v>
      </c>
      <c r="M39" s="812">
        <f>(38.48+0.75)*1.03</f>
        <v>40.4069</v>
      </c>
      <c r="N39" s="24">
        <v>1</v>
      </c>
    </row>
    <row r="40" spans="1:18" ht="18" customHeight="1">
      <c r="A40" s="550" t="s">
        <v>788</v>
      </c>
      <c r="B40" s="553">
        <v>10</v>
      </c>
      <c r="C40" s="695">
        <f>M40+H40+I40</f>
        <v>43.339999999999996</v>
      </c>
      <c r="D40" s="553">
        <v>26</v>
      </c>
      <c r="E40" s="695">
        <f>C40*D40*80</f>
        <v>90147.199999999997</v>
      </c>
      <c r="F40" s="695"/>
      <c r="G40" s="695">
        <f>E40+F40</f>
        <v>90147.199999999997</v>
      </c>
      <c r="H40" s="894">
        <v>1.63</v>
      </c>
      <c r="I40" s="895">
        <f>P14</f>
        <v>1.3</v>
      </c>
      <c r="J40" s="890"/>
      <c r="K40" s="621">
        <f>G40+J40</f>
        <v>90147.199999999997</v>
      </c>
      <c r="L40" s="801"/>
      <c r="M40" s="812">
        <v>40.409999999999997</v>
      </c>
    </row>
    <row r="41" spans="1:18" ht="18" customHeight="1">
      <c r="A41" s="820" t="s">
        <v>581</v>
      </c>
      <c r="B41" s="553">
        <v>2</v>
      </c>
      <c r="C41" s="695">
        <f>M41+I41</f>
        <v>31.864999999999998</v>
      </c>
      <c r="D41" s="553">
        <v>26</v>
      </c>
      <c r="E41" s="825">
        <f>C41*D41*80</f>
        <v>66279.199999999997</v>
      </c>
      <c r="F41" s="826"/>
      <c r="G41" s="695">
        <f t="shared" si="13"/>
        <v>66279.199999999997</v>
      </c>
      <c r="H41" s="894"/>
      <c r="I41" s="895">
        <f>P6</f>
        <v>0.45</v>
      </c>
      <c r="J41" s="890"/>
      <c r="K41" s="621">
        <f>G41+J41</f>
        <v>66279.199999999997</v>
      </c>
      <c r="L41" s="801">
        <v>41169</v>
      </c>
      <c r="M41" s="695">
        <f>(27.24+3.26)*1.03</f>
        <v>31.414999999999999</v>
      </c>
    </row>
    <row r="42" spans="1:18" ht="18" customHeight="1">
      <c r="A42" s="550" t="s">
        <v>563</v>
      </c>
      <c r="B42" s="553">
        <v>3</v>
      </c>
      <c r="C42" s="695">
        <f>M42+I42</f>
        <v>19.109100000000002</v>
      </c>
      <c r="D42" s="553">
        <v>26</v>
      </c>
      <c r="E42" s="695">
        <f>C42*D42*80</f>
        <v>39746.928</v>
      </c>
      <c r="F42" s="695"/>
      <c r="G42" s="695">
        <f t="shared" si="13"/>
        <v>39746.928</v>
      </c>
      <c r="H42" s="894"/>
      <c r="I42" s="895">
        <f>P7</f>
        <v>0.6</v>
      </c>
      <c r="J42" s="890"/>
      <c r="K42" s="621">
        <f t="shared" ref="K42:K46" si="14">G42+H42</f>
        <v>39746.928</v>
      </c>
      <c r="L42" s="801">
        <v>40911</v>
      </c>
      <c r="M42" s="695">
        <f>17.97*1.03</f>
        <v>18.5091</v>
      </c>
      <c r="N42" s="537"/>
      <c r="O42" s="537"/>
      <c r="P42" s="537"/>
    </row>
    <row r="43" spans="1:18" ht="18" customHeight="1">
      <c r="A43" s="550"/>
      <c r="B43" s="553"/>
      <c r="C43" s="552"/>
      <c r="D43" s="553"/>
      <c r="E43" s="695"/>
      <c r="F43" s="695"/>
      <c r="G43" s="695"/>
      <c r="H43" s="894"/>
      <c r="I43" s="895"/>
      <c r="J43" s="890"/>
      <c r="K43" s="781"/>
      <c r="L43" s="802"/>
      <c r="M43" s="799"/>
    </row>
    <row r="44" spans="1:18" ht="18" customHeight="1">
      <c r="A44" s="550" t="s">
        <v>653</v>
      </c>
      <c r="B44" s="553"/>
      <c r="C44" s="695">
        <f>M44+I44+H44</f>
        <v>35.445</v>
      </c>
      <c r="D44" s="553">
        <v>26</v>
      </c>
      <c r="E44" s="695">
        <f>C44*312</f>
        <v>11058.84</v>
      </c>
      <c r="F44" s="695"/>
      <c r="G44" s="695">
        <f t="shared" ref="G44" si="15">E44+F44</f>
        <v>11058.84</v>
      </c>
      <c r="H44" s="894"/>
      <c r="I44" s="895"/>
      <c r="J44" s="890"/>
      <c r="K44" s="813">
        <f t="shared" ref="K44" si="16">G44+H44</f>
        <v>11058.84</v>
      </c>
      <c r="L44" s="802"/>
      <c r="M44" s="812">
        <f>C2*1.5</f>
        <v>35.445</v>
      </c>
    </row>
    <row r="45" spans="1:18" ht="18" customHeight="1">
      <c r="A45" s="862" t="s">
        <v>535</v>
      </c>
      <c r="B45" s="553"/>
      <c r="C45" s="695">
        <f>M45+I45+H45</f>
        <v>20.291</v>
      </c>
      <c r="D45" s="553">
        <v>26</v>
      </c>
      <c r="E45" s="695">
        <f>C45*670</f>
        <v>13594.97</v>
      </c>
      <c r="F45" s="695"/>
      <c r="G45" s="695">
        <f t="shared" si="13"/>
        <v>13594.97</v>
      </c>
      <c r="H45" s="894"/>
      <c r="I45" s="895"/>
      <c r="J45" s="890"/>
      <c r="K45" s="588">
        <f t="shared" si="14"/>
        <v>13594.97</v>
      </c>
      <c r="L45" s="802"/>
      <c r="M45" s="812">
        <f>19.7*1.03</f>
        <v>20.291</v>
      </c>
    </row>
    <row r="46" spans="1:18" ht="18" customHeight="1">
      <c r="A46" s="862" t="s">
        <v>550</v>
      </c>
      <c r="B46" s="553"/>
      <c r="C46" s="695">
        <f>M46+I46+H46</f>
        <v>20.291</v>
      </c>
      <c r="D46" s="553">
        <v>26</v>
      </c>
      <c r="E46" s="695">
        <f>C46*936</f>
        <v>18992.376</v>
      </c>
      <c r="F46" s="695"/>
      <c r="G46" s="695">
        <f t="shared" si="13"/>
        <v>18992.376</v>
      </c>
      <c r="H46" s="894"/>
      <c r="I46" s="895"/>
      <c r="J46" s="890"/>
      <c r="K46" s="588">
        <f t="shared" si="14"/>
        <v>18992.376</v>
      </c>
      <c r="L46" s="802"/>
      <c r="M46" s="812">
        <f>19.7*1.03</f>
        <v>20.291</v>
      </c>
    </row>
    <row r="47" spans="1:18" ht="18" customHeight="1">
      <c r="A47" s="550" t="s">
        <v>534</v>
      </c>
      <c r="B47" s="553"/>
      <c r="C47" s="695">
        <f>M47+I47+H47</f>
        <v>20.291</v>
      </c>
      <c r="D47" s="553">
        <v>26</v>
      </c>
      <c r="E47" s="695">
        <f>C47*D47*20</f>
        <v>10551.32</v>
      </c>
      <c r="F47" s="695"/>
      <c r="G47" s="695">
        <f>E47+F47</f>
        <v>10551.32</v>
      </c>
      <c r="H47" s="894"/>
      <c r="I47" s="896"/>
      <c r="J47" s="891"/>
      <c r="K47" s="588">
        <f>G47+H47</f>
        <v>10551.32</v>
      </c>
      <c r="L47" s="802"/>
      <c r="M47" s="812">
        <f>19.7*1.03</f>
        <v>20.291</v>
      </c>
    </row>
    <row r="48" spans="1:18" ht="18" customHeight="1">
      <c r="A48" s="550" t="s">
        <v>490</v>
      </c>
      <c r="B48" s="553"/>
      <c r="C48" s="553" t="s">
        <v>489</v>
      </c>
      <c r="D48" s="553"/>
      <c r="E48" s="553"/>
      <c r="F48" s="553"/>
      <c r="G48" s="553"/>
      <c r="H48" s="894"/>
      <c r="I48" s="895"/>
      <c r="J48" s="890"/>
      <c r="K48" s="589">
        <v>70000</v>
      </c>
      <c r="M48" s="292"/>
      <c r="O48" s="537" t="s">
        <v>493</v>
      </c>
      <c r="R48" s="24" t="s">
        <v>495</v>
      </c>
    </row>
    <row r="49" spans="1:22" ht="18" customHeight="1">
      <c r="A49" s="35"/>
      <c r="B49" s="81"/>
      <c r="C49" s="81" t="s">
        <v>75</v>
      </c>
      <c r="D49" s="81"/>
      <c r="E49" s="81"/>
      <c r="F49" s="81"/>
      <c r="G49" s="81"/>
      <c r="H49" s="897"/>
      <c r="I49" s="898"/>
      <c r="J49" s="892"/>
      <c r="K49" s="803">
        <f>SUM(K38:K48)</f>
        <v>525945.66599999997</v>
      </c>
      <c r="M49" s="292"/>
      <c r="P49" s="102"/>
      <c r="Q49" s="102"/>
      <c r="R49" s="102"/>
      <c r="S49" s="102"/>
      <c r="T49" s="102"/>
      <c r="U49" s="102"/>
    </row>
    <row r="50" spans="1:22" ht="18" customHeight="1" thickBot="1">
      <c r="A50" s="563"/>
      <c r="B50" s="564"/>
      <c r="C50" s="564"/>
      <c r="D50" s="564"/>
      <c r="E50" s="564"/>
      <c r="F50" s="564"/>
      <c r="G50" s="564"/>
      <c r="H50" s="899"/>
      <c r="I50" s="900"/>
      <c r="J50" s="893"/>
      <c r="K50" s="824"/>
      <c r="O50" s="102"/>
      <c r="P50" s="814"/>
      <c r="Q50" s="815"/>
      <c r="R50" s="816"/>
      <c r="S50" s="817"/>
      <c r="T50" s="816"/>
      <c r="U50" s="818"/>
      <c r="V50" s="819"/>
    </row>
    <row r="51" spans="1:22" ht="15.75" customHeight="1" thickBot="1">
      <c r="A51" s="565" t="s">
        <v>76</v>
      </c>
      <c r="B51" s="566">
        <f>AVERAGE(B38:B42)</f>
        <v>7.6</v>
      </c>
      <c r="C51" s="901"/>
      <c r="D51" s="903"/>
      <c r="E51" s="901"/>
      <c r="F51" s="901"/>
      <c r="G51" s="901"/>
      <c r="H51" s="901">
        <f>AVERAGE(H38:H50)</f>
        <v>1.4049999999999998</v>
      </c>
      <c r="I51" s="902">
        <f>AVERAGE(I38:I50)</f>
        <v>1.05</v>
      </c>
      <c r="J51" s="902">
        <f>SUM(J38:J50)</f>
        <v>200</v>
      </c>
      <c r="K51" s="829">
        <f>K35+K49</f>
        <v>2162997.1140000001</v>
      </c>
      <c r="L51" s="668" t="s">
        <v>494</v>
      </c>
      <c r="M51" s="585"/>
      <c r="P51" s="102"/>
      <c r="Q51" s="102"/>
      <c r="R51" s="102"/>
      <c r="S51" s="102"/>
      <c r="T51" s="102"/>
      <c r="U51" s="102"/>
    </row>
    <row r="52" spans="1:22" ht="10.5" customHeight="1"/>
    <row r="53" spans="1:22" ht="16.5" thickBot="1">
      <c r="A53" s="65" t="s">
        <v>77</v>
      </c>
      <c r="N53" s="585"/>
      <c r="O53" s="585"/>
    </row>
    <row r="54" spans="1:22">
      <c r="A54" s="622" t="s">
        <v>78</v>
      </c>
      <c r="B54" s="623"/>
      <c r="C54" s="623"/>
      <c r="D54" s="623"/>
      <c r="E54" s="623"/>
      <c r="F54" s="623"/>
      <c r="G54" s="624">
        <f>'641 BENEFITS'!E4</f>
        <v>165469.279221</v>
      </c>
      <c r="H54" s="24" t="s">
        <v>540</v>
      </c>
    </row>
    <row r="55" spans="1:22">
      <c r="A55" s="625" t="s">
        <v>436</v>
      </c>
      <c r="B55" s="553"/>
      <c r="C55" s="553"/>
      <c r="D55" s="553"/>
      <c r="E55" s="553"/>
      <c r="F55" s="553"/>
      <c r="G55" s="744">
        <f>'641 BENEFITS'!E5</f>
        <v>5250</v>
      </c>
    </row>
    <row r="56" spans="1:22" ht="13.5">
      <c r="A56" s="625" t="s">
        <v>512</v>
      </c>
      <c r="B56" s="553"/>
      <c r="C56" s="553"/>
      <c r="D56" s="553"/>
      <c r="E56" s="553"/>
      <c r="F56" s="553"/>
      <c r="G56" s="744">
        <f>'641 BENEFITS'!E6+'641 BENEFITS'!E8</f>
        <v>310599.99800000002</v>
      </c>
    </row>
    <row r="57" spans="1:22">
      <c r="A57" s="625" t="s">
        <v>539</v>
      </c>
      <c r="B57" s="553"/>
      <c r="C57" s="553"/>
      <c r="D57" s="553"/>
      <c r="E57" s="553"/>
      <c r="F57" s="553"/>
      <c r="G57" s="744">
        <f>'641 BENEFITS'!E10+'641 BENEFITS'!E11+'641 BENEFITS'!E12</f>
        <v>16600</v>
      </c>
    </row>
    <row r="58" spans="1:22">
      <c r="A58" s="626" t="s">
        <v>433</v>
      </c>
      <c r="B58" s="620"/>
      <c r="C58" s="620"/>
      <c r="D58" s="620"/>
      <c r="E58" s="620"/>
      <c r="F58" s="620"/>
      <c r="G58" s="758">
        <f>'641 BENEFITS'!E9</f>
        <v>10600</v>
      </c>
    </row>
    <row r="59" spans="1:22" ht="13.5">
      <c r="A59" s="627" t="s">
        <v>403</v>
      </c>
      <c r="B59" s="549"/>
      <c r="C59" s="549"/>
      <c r="D59" s="549"/>
      <c r="E59" s="874"/>
      <c r="F59" s="950" t="s">
        <v>537</v>
      </c>
      <c r="G59" s="759">
        <f>K35/100*3.23*0.88*0.8</f>
        <v>37225.240286361593</v>
      </c>
      <c r="I59" s="831">
        <v>3.23</v>
      </c>
      <c r="J59" s="837">
        <v>0.88</v>
      </c>
      <c r="K59" s="833">
        <v>0.8</v>
      </c>
      <c r="L59" s="703">
        <v>2013</v>
      </c>
      <c r="M59" s="590" t="s">
        <v>497</v>
      </c>
      <c r="N59" s="591">
        <v>2012</v>
      </c>
      <c r="O59" s="595" t="s">
        <v>438</v>
      </c>
      <c r="P59" s="596">
        <v>2011</v>
      </c>
      <c r="Q59" s="590" t="s">
        <v>400</v>
      </c>
      <c r="R59" s="601"/>
    </row>
    <row r="60" spans="1:22" ht="13.5">
      <c r="A60" s="625" t="s">
        <v>491</v>
      </c>
      <c r="B60" s="553"/>
      <c r="C60" s="553"/>
      <c r="D60" s="553"/>
      <c r="E60" s="732"/>
      <c r="F60" s="951"/>
      <c r="G60" s="744">
        <f>(K49-K48)/100*0.44*0.88*0.8</f>
        <v>1412.3372950016001</v>
      </c>
      <c r="I60" s="35">
        <v>0.44</v>
      </c>
      <c r="J60" s="81">
        <v>0.88</v>
      </c>
      <c r="K60" s="834">
        <v>0.8</v>
      </c>
      <c r="L60" s="704">
        <v>2013</v>
      </c>
      <c r="M60" s="592" t="s">
        <v>498</v>
      </c>
      <c r="N60" s="593">
        <v>2012</v>
      </c>
      <c r="O60" s="597" t="s">
        <v>439</v>
      </c>
      <c r="P60" s="598">
        <v>2011</v>
      </c>
      <c r="Q60" s="592" t="s">
        <v>401</v>
      </c>
      <c r="R60" s="602"/>
    </row>
    <row r="61" spans="1:22" ht="13.5">
      <c r="A61" s="625" t="s">
        <v>404</v>
      </c>
      <c r="B61" s="553"/>
      <c r="C61" s="553"/>
      <c r="D61" s="553"/>
      <c r="E61" s="732"/>
      <c r="F61" s="951"/>
      <c r="G61" s="744">
        <v>443.52</v>
      </c>
      <c r="I61" s="35">
        <v>5.68</v>
      </c>
      <c r="J61" s="81">
        <v>0.88</v>
      </c>
      <c r="K61" s="835">
        <v>0.8</v>
      </c>
      <c r="L61" s="704">
        <v>2013</v>
      </c>
      <c r="M61" s="592" t="s">
        <v>499</v>
      </c>
      <c r="N61" s="593">
        <v>2012</v>
      </c>
      <c r="O61" s="599" t="s">
        <v>440</v>
      </c>
      <c r="P61" s="600">
        <v>2011</v>
      </c>
      <c r="Q61" s="603" t="s">
        <v>402</v>
      </c>
      <c r="R61" s="604"/>
    </row>
    <row r="62" spans="1:22" ht="13.5">
      <c r="A62" s="626" t="s">
        <v>492</v>
      </c>
      <c r="B62" s="620"/>
      <c r="C62" s="620"/>
      <c r="D62" s="620"/>
      <c r="E62" s="875"/>
      <c r="F62" s="951"/>
      <c r="G62" s="758">
        <f>K48/100*0.43*0.88*0.8</f>
        <v>211.904</v>
      </c>
      <c r="I62" s="35">
        <v>0.43</v>
      </c>
      <c r="J62" s="838">
        <v>0.88</v>
      </c>
      <c r="K62" s="834">
        <v>0.8</v>
      </c>
      <c r="L62" s="704">
        <v>2013</v>
      </c>
      <c r="M62" s="605" t="s">
        <v>500</v>
      </c>
      <c r="N62" s="593">
        <v>2012</v>
      </c>
      <c r="O62" s="102"/>
    </row>
    <row r="63" spans="1:22" ht="14.25" thickBot="1">
      <c r="A63" s="626" t="s">
        <v>496</v>
      </c>
      <c r="B63" s="620"/>
      <c r="C63" s="620"/>
      <c r="D63" s="620"/>
      <c r="E63" s="875"/>
      <c r="F63" s="952"/>
      <c r="G63" s="877">
        <f>3000/100*0.39*0.88*0.8</f>
        <v>8.2368000000000006</v>
      </c>
      <c r="I63" s="832">
        <v>0.39</v>
      </c>
      <c r="J63" s="839">
        <v>0.88</v>
      </c>
      <c r="K63" s="836">
        <v>0.8</v>
      </c>
      <c r="L63" s="705">
        <v>2013</v>
      </c>
      <c r="M63" s="148" t="s">
        <v>501</v>
      </c>
      <c r="N63" s="594">
        <v>2012</v>
      </c>
      <c r="O63" s="102"/>
    </row>
    <row r="64" spans="1:22" ht="13.5">
      <c r="A64" s="735" t="s">
        <v>459</v>
      </c>
      <c r="B64" s="619"/>
      <c r="C64" s="619"/>
      <c r="D64" s="619"/>
      <c r="E64" s="619"/>
      <c r="F64" s="797"/>
      <c r="G64" s="876">
        <v>-1589</v>
      </c>
      <c r="K64" s="568" t="s">
        <v>536</v>
      </c>
      <c r="L64" s="567"/>
      <c r="M64" s="539"/>
      <c r="N64" s="102"/>
    </row>
    <row r="65" spans="1:17" ht="15.75">
      <c r="A65" s="736" t="s">
        <v>405</v>
      </c>
      <c r="B65" s="557"/>
      <c r="C65" s="557"/>
      <c r="D65" s="557"/>
      <c r="E65" s="557"/>
      <c r="F65" s="557"/>
      <c r="G65" s="760">
        <f>'641 BENEFITS'!E19</f>
        <v>20000</v>
      </c>
      <c r="H65" s="587"/>
    </row>
    <row r="66" spans="1:17">
      <c r="A66" s="625" t="s">
        <v>437</v>
      </c>
      <c r="B66" s="553"/>
      <c r="C66" s="553"/>
      <c r="D66" s="553"/>
      <c r="E66" s="553"/>
      <c r="F66" s="553"/>
      <c r="G66" s="744">
        <f>'641 BENEFITS'!E20+'641 BENEFITS'!E21+'641 BENEFITS'!E22</f>
        <v>10872</v>
      </c>
      <c r="J66" s="733" t="s">
        <v>552</v>
      </c>
      <c r="K66" s="733"/>
      <c r="L66" s="733"/>
      <c r="M66" s="733"/>
      <c r="N66" s="733"/>
      <c r="O66" s="537"/>
    </row>
    <row r="67" spans="1:17">
      <c r="A67" s="625" t="s">
        <v>86</v>
      </c>
      <c r="B67" s="553"/>
      <c r="C67" s="553"/>
      <c r="D67" s="553"/>
      <c r="E67" s="553"/>
      <c r="F67" s="553"/>
      <c r="G67" s="744">
        <f>'641 BENEFITS'!E23</f>
        <v>2000</v>
      </c>
    </row>
    <row r="68" spans="1:17" ht="13.5" thickBot="1">
      <c r="A68" s="628" t="s">
        <v>502</v>
      </c>
      <c r="B68" s="629"/>
      <c r="C68" s="629"/>
      <c r="D68" s="629"/>
      <c r="E68" s="629"/>
      <c r="F68" s="629"/>
      <c r="G68" s="630">
        <f>(K51-K34-K45-K46-K47-K48)*0.1</f>
        <v>202785.84479999999</v>
      </c>
      <c r="H68" s="24" t="s">
        <v>540</v>
      </c>
      <c r="Q68" s="435"/>
    </row>
    <row r="69" spans="1:17" ht="14.25" thickTop="1" thickBot="1">
      <c r="A69" s="569" t="s">
        <v>87</v>
      </c>
      <c r="B69" s="570"/>
      <c r="C69" s="570"/>
      <c r="D69" s="570"/>
      <c r="E69" s="570"/>
      <c r="F69" s="570"/>
      <c r="G69" s="611">
        <f>SUM(G54:G68)</f>
        <v>781889.36040236312</v>
      </c>
    </row>
    <row r="70" spans="1:17" ht="15" thickTop="1" thickBot="1">
      <c r="A70" s="571" t="s">
        <v>88</v>
      </c>
      <c r="B70" s="572"/>
      <c r="C70" s="572"/>
      <c r="D70" s="572"/>
      <c r="E70" s="572"/>
      <c r="F70" s="572"/>
      <c r="G70" s="734">
        <f>K51+G69</f>
        <v>2944886.4744023634</v>
      </c>
    </row>
    <row r="72" spans="1:17">
      <c r="E72" s="573"/>
    </row>
  </sheetData>
  <sortState ref="A23:M29">
    <sortCondition descending="1" ref="B23:B29"/>
  </sortState>
  <mergeCells count="2">
    <mergeCell ref="F59:F63"/>
    <mergeCell ref="P3:Q3"/>
  </mergeCells>
  <pageMargins left="0.7" right="0.7" top="0.75" bottom="0.75" header="0.3" footer="0.3"/>
  <pageSetup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1" manualBreakCount="1">
    <brk id="3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98" customFormat="1" ht="21" customHeight="1">
      <c r="A1" s="466"/>
      <c r="B1" s="467" t="s">
        <v>275</v>
      </c>
      <c r="C1" s="468" t="s">
        <v>272</v>
      </c>
      <c r="D1" s="468" t="s">
        <v>435</v>
      </c>
      <c r="E1" s="468" t="s">
        <v>276</v>
      </c>
      <c r="F1" s="468" t="s">
        <v>277</v>
      </c>
      <c r="G1" s="468" t="s">
        <v>274</v>
      </c>
      <c r="H1" s="468" t="s">
        <v>468</v>
      </c>
      <c r="I1" s="153" t="s">
        <v>166</v>
      </c>
      <c r="J1" s="958" t="s">
        <v>551</v>
      </c>
    </row>
    <row r="2" spans="1:12" s="298" customFormat="1" ht="21" customHeight="1">
      <c r="A2" s="469" t="s">
        <v>278</v>
      </c>
      <c r="B2" s="470">
        <v>61865</v>
      </c>
      <c r="C2" s="470">
        <f>B2*0.0765</f>
        <v>4732.6724999999997</v>
      </c>
      <c r="D2" s="470">
        <v>119.9</v>
      </c>
      <c r="E2" s="471">
        <f>B2/100*3.33*1.36*0.85</f>
        <v>2381.480802</v>
      </c>
      <c r="F2" s="470">
        <v>1455.67</v>
      </c>
      <c r="G2" s="470">
        <v>8960.0400000000009</v>
      </c>
      <c r="H2" s="470">
        <f>B2*0.095</f>
        <v>5877.1750000000002</v>
      </c>
      <c r="I2" s="156">
        <f>SUM(B2:H2)</f>
        <v>85391.93830200001</v>
      </c>
      <c r="J2" s="958"/>
    </row>
    <row r="3" spans="1:12" ht="18" customHeight="1">
      <c r="A3" s="472" t="s">
        <v>278</v>
      </c>
      <c r="B3" s="471">
        <v>61268</v>
      </c>
      <c r="C3" s="471">
        <f>B3*0.0765</f>
        <v>4687.0019999999995</v>
      </c>
      <c r="D3" s="471">
        <v>119.9</v>
      </c>
      <c r="E3" s="471">
        <f t="shared" ref="E3:E20" si="0">B3/100*3.33*1.36*0.85</f>
        <v>2358.4994063999998</v>
      </c>
      <c r="F3" s="471">
        <v>1455.67</v>
      </c>
      <c r="G3" s="471">
        <v>8960.0400000000009</v>
      </c>
      <c r="H3" s="471">
        <f t="shared" ref="H3:H25" si="1">B3*0.095</f>
        <v>5820.46</v>
      </c>
      <c r="I3" s="154">
        <f t="shared" ref="I3:I8" si="2">SUM(B3:H3)</f>
        <v>84669.571406399991</v>
      </c>
      <c r="J3" s="958"/>
    </row>
    <row r="4" spans="1:12" ht="18" customHeight="1">
      <c r="A4" s="480" t="s">
        <v>278</v>
      </c>
      <c r="B4" s="481">
        <v>61269</v>
      </c>
      <c r="C4" s="481">
        <f>B4*0.0765</f>
        <v>4687.0784999999996</v>
      </c>
      <c r="D4" s="481">
        <v>119.9</v>
      </c>
      <c r="E4" s="481">
        <f t="shared" si="0"/>
        <v>2358.5379012000003</v>
      </c>
      <c r="F4" s="481">
        <v>1455.67</v>
      </c>
      <c r="G4" s="481">
        <v>8960.0400000000009</v>
      </c>
      <c r="H4" s="481">
        <f t="shared" si="1"/>
        <v>5820.5550000000003</v>
      </c>
      <c r="I4" s="462">
        <f>SUM(B4:H4)</f>
        <v>84670.781401199987</v>
      </c>
      <c r="J4" s="958"/>
    </row>
    <row r="5" spans="1:12" ht="18" customHeight="1">
      <c r="A5" s="494" t="s">
        <v>279</v>
      </c>
      <c r="B5" s="470">
        <v>52203</v>
      </c>
      <c r="C5" s="470">
        <f>B5*0.0765</f>
        <v>3993.5295000000001</v>
      </c>
      <c r="D5" s="470">
        <v>119.9</v>
      </c>
      <c r="E5" s="470">
        <f>B5/100*3.33*1.36*0.85</f>
        <v>2009.5440444000001</v>
      </c>
      <c r="F5" s="470">
        <v>1455.67</v>
      </c>
      <c r="G5" s="470">
        <v>4777.76</v>
      </c>
      <c r="H5" s="470">
        <f>B5*0.095</f>
        <v>4959.2849999999999</v>
      </c>
      <c r="I5" s="531">
        <f>SUM(B5:H5)</f>
        <v>69518.688544399993</v>
      </c>
      <c r="J5" s="958"/>
    </row>
    <row r="6" spans="1:12" ht="18" customHeight="1">
      <c r="A6" s="495" t="s">
        <v>279</v>
      </c>
      <c r="B6" s="471">
        <v>52504.3</v>
      </c>
      <c r="C6" s="471">
        <f t="shared" ref="C6:C35" si="3">B6*0.0765</f>
        <v>4016.5789500000001</v>
      </c>
      <c r="D6" s="471">
        <v>119.9</v>
      </c>
      <c r="E6" s="471">
        <f t="shared" si="0"/>
        <v>2021.1425276400003</v>
      </c>
      <c r="F6" s="471">
        <v>1455.67</v>
      </c>
      <c r="G6" s="471">
        <v>8960.0400000000009</v>
      </c>
      <c r="H6" s="471">
        <f t="shared" si="1"/>
        <v>4987.9085000000005</v>
      </c>
      <c r="I6" s="154">
        <f t="shared" si="2"/>
        <v>74065.539977640015</v>
      </c>
      <c r="J6" s="958"/>
    </row>
    <row r="7" spans="1:12" ht="18" customHeight="1">
      <c r="A7" s="496" t="s">
        <v>279</v>
      </c>
      <c r="B7" s="474">
        <v>51304.3</v>
      </c>
      <c r="C7" s="474">
        <f>B7*0.0765</f>
        <v>3924.7789500000003</v>
      </c>
      <c r="D7" s="474">
        <v>119.9</v>
      </c>
      <c r="E7" s="474">
        <f>B7/100*3.33*1.36*0.85</f>
        <v>1974.9487676400001</v>
      </c>
      <c r="F7" s="474">
        <v>1455.67</v>
      </c>
      <c r="G7" s="474">
        <v>4777.76</v>
      </c>
      <c r="H7" s="474">
        <f>B7*0.095</f>
        <v>4873.9085000000005</v>
      </c>
      <c r="I7" s="529">
        <f>SUM(B7:H7)</f>
        <v>68431.266217640004</v>
      </c>
      <c r="J7" s="958"/>
      <c r="L7" s="292"/>
    </row>
    <row r="8" spans="1:12" s="102" customFormat="1" ht="18" customHeight="1">
      <c r="A8" s="527" t="s">
        <v>472</v>
      </c>
      <c r="B8" s="512">
        <v>55456.37</v>
      </c>
      <c r="C8" s="512">
        <f t="shared" si="3"/>
        <v>4242.4123049999998</v>
      </c>
      <c r="D8" s="512">
        <v>119.9</v>
      </c>
      <c r="E8" s="526">
        <f t="shared" si="0"/>
        <v>2134.7818718760004</v>
      </c>
      <c r="F8" s="509">
        <v>1455.67</v>
      </c>
      <c r="G8" s="512">
        <v>4777.76</v>
      </c>
      <c r="H8" s="509">
        <f t="shared" si="1"/>
        <v>5268.3551500000003</v>
      </c>
      <c r="I8" s="530">
        <f t="shared" si="2"/>
        <v>73455.249326876001</v>
      </c>
      <c r="J8" s="958"/>
    </row>
    <row r="9" spans="1:12" ht="18" customHeight="1">
      <c r="A9" s="494" t="s">
        <v>280</v>
      </c>
      <c r="B9" s="470">
        <v>48731.7</v>
      </c>
      <c r="C9" s="470">
        <f>B9*0.0765</f>
        <v>3727.9750499999996</v>
      </c>
      <c r="D9" s="470">
        <v>119.9</v>
      </c>
      <c r="E9" s="470">
        <f>B9/100*3.33*1.36*0.85</f>
        <v>1875.91704516</v>
      </c>
      <c r="F9" s="470">
        <v>1455.67</v>
      </c>
      <c r="G9" s="470">
        <v>4776.76</v>
      </c>
      <c r="H9" s="470">
        <f>B9*0.095</f>
        <v>4629.5114999999996</v>
      </c>
      <c r="I9" s="531">
        <f>SUM(B9:H9)</f>
        <v>65317.433595160001</v>
      </c>
      <c r="J9" s="958"/>
    </row>
    <row r="10" spans="1:12" ht="18" customHeight="1">
      <c r="A10" s="495" t="s">
        <v>280</v>
      </c>
      <c r="B10" s="471">
        <v>49693.7</v>
      </c>
      <c r="C10" s="471">
        <f t="shared" ref="C10:C17" si="4">B10*0.0765</f>
        <v>3801.5680499999999</v>
      </c>
      <c r="D10" s="471">
        <v>119.9</v>
      </c>
      <c r="E10" s="471">
        <f t="shared" si="0"/>
        <v>1912.9490427599999</v>
      </c>
      <c r="F10" s="471">
        <v>1455.67</v>
      </c>
      <c r="G10" s="471">
        <v>4777.76</v>
      </c>
      <c r="H10" s="471">
        <f t="shared" si="1"/>
        <v>4720.9014999999999</v>
      </c>
      <c r="I10" s="532">
        <f t="shared" ref="I10:I27" si="5">SUM(B10:H10)</f>
        <v>66482.448592760004</v>
      </c>
      <c r="J10" s="958"/>
    </row>
    <row r="11" spans="1:12" ht="18" customHeight="1">
      <c r="A11" s="495" t="s">
        <v>280</v>
      </c>
      <c r="B11" s="471">
        <v>49093.7</v>
      </c>
      <c r="C11" s="471">
        <f>B11*0.0765</f>
        <v>3755.6680499999998</v>
      </c>
      <c r="D11" s="471">
        <v>119.9</v>
      </c>
      <c r="E11" s="471">
        <f>B11/100*3.33*1.36*0.85</f>
        <v>1889.8521627600001</v>
      </c>
      <c r="F11" s="471">
        <v>1455.67</v>
      </c>
      <c r="G11" s="471">
        <v>8960.0400000000009</v>
      </c>
      <c r="H11" s="471">
        <f>B11*0.095</f>
        <v>4663.9014999999999</v>
      </c>
      <c r="I11" s="154">
        <f>SUM(B11:H11)</f>
        <v>69938.731712759996</v>
      </c>
      <c r="J11" s="958"/>
    </row>
    <row r="12" spans="1:12" ht="18" customHeight="1">
      <c r="A12" s="495" t="s">
        <v>280</v>
      </c>
      <c r="B12" s="471">
        <v>48135.7</v>
      </c>
      <c r="C12" s="471">
        <f t="shared" si="4"/>
        <v>3682.3810499999995</v>
      </c>
      <c r="D12" s="471">
        <v>119.9</v>
      </c>
      <c r="E12" s="471">
        <f t="shared" si="0"/>
        <v>1852.9741443599999</v>
      </c>
      <c r="F12" s="471">
        <v>1455.67</v>
      </c>
      <c r="G12" s="471">
        <v>4777.76</v>
      </c>
      <c r="H12" s="471">
        <f t="shared" si="1"/>
        <v>4572.8914999999997</v>
      </c>
      <c r="I12" s="532">
        <f t="shared" si="5"/>
        <v>64597.276694359993</v>
      </c>
      <c r="J12" s="958"/>
    </row>
    <row r="13" spans="1:12" ht="18" customHeight="1">
      <c r="A13" s="495" t="s">
        <v>280</v>
      </c>
      <c r="B13" s="471">
        <v>46636.7</v>
      </c>
      <c r="C13" s="471">
        <f>B13*0.0765</f>
        <v>3567.7075499999996</v>
      </c>
      <c r="D13" s="471">
        <v>119.9</v>
      </c>
      <c r="E13" s="471">
        <f>B13/100*3.33*1.36*0.85</f>
        <v>1795.2704391599998</v>
      </c>
      <c r="F13" s="471">
        <v>1455.67</v>
      </c>
      <c r="G13" s="471">
        <v>7301.36</v>
      </c>
      <c r="H13" s="471">
        <f>B13*0.095</f>
        <v>4430.4865</v>
      </c>
      <c r="I13" s="532">
        <f>SUM(B13:H13)</f>
        <v>65307.094489159994</v>
      </c>
      <c r="J13" s="958"/>
    </row>
    <row r="14" spans="1:12" ht="18" customHeight="1">
      <c r="A14" s="496" t="s">
        <v>280</v>
      </c>
      <c r="B14" s="474">
        <v>49636.7</v>
      </c>
      <c r="C14" s="474">
        <f>B14*0.0765</f>
        <v>3797.2075499999996</v>
      </c>
      <c r="D14" s="474">
        <v>119.9</v>
      </c>
      <c r="E14" s="474">
        <f>B14/100*3.33*1.36*0.85</f>
        <v>1910.7548391600003</v>
      </c>
      <c r="F14" s="474">
        <v>1455.67</v>
      </c>
      <c r="G14" s="474">
        <v>4777.76</v>
      </c>
      <c r="H14" s="474">
        <f>B14*0.095</f>
        <v>4715.4865</v>
      </c>
      <c r="I14" s="529">
        <f>SUM(B14:H14)</f>
        <v>66413.478889160004</v>
      </c>
      <c r="J14" s="958"/>
    </row>
    <row r="15" spans="1:12" ht="18" customHeight="1">
      <c r="A15" s="494" t="s">
        <v>281</v>
      </c>
      <c r="B15" s="470">
        <v>42269.3</v>
      </c>
      <c r="C15" s="470">
        <f>B15*0.0765</f>
        <v>3233.6014500000001</v>
      </c>
      <c r="D15" s="470">
        <v>119.9</v>
      </c>
      <c r="E15" s="470">
        <f>B15/100*3.33*1.36*0.85</f>
        <v>1627.1482496400001</v>
      </c>
      <c r="F15" s="470">
        <v>1455.67</v>
      </c>
      <c r="G15" s="470">
        <v>8960.0400000000009</v>
      </c>
      <c r="H15" s="470">
        <f>B15*0.095</f>
        <v>4015.5835000000002</v>
      </c>
      <c r="I15" s="531">
        <f>SUM(B15:H15)</f>
        <v>61681.243199640005</v>
      </c>
      <c r="J15" s="958"/>
    </row>
    <row r="16" spans="1:12" ht="18" customHeight="1">
      <c r="A16" s="472" t="s">
        <v>281</v>
      </c>
      <c r="B16" s="471">
        <v>42631.3</v>
      </c>
      <c r="C16" s="471">
        <f t="shared" si="4"/>
        <v>3261.2944500000003</v>
      </c>
      <c r="D16" s="471">
        <v>119.9</v>
      </c>
      <c r="E16" s="471">
        <f t="shared" si="0"/>
        <v>1641.0833672400004</v>
      </c>
      <c r="F16" s="471">
        <v>1455.67</v>
      </c>
      <c r="G16" s="471">
        <v>4777.76</v>
      </c>
      <c r="H16" s="471">
        <f t="shared" si="1"/>
        <v>4049.9735000000005</v>
      </c>
      <c r="I16" s="154">
        <f t="shared" si="5"/>
        <v>57936.981317240003</v>
      </c>
      <c r="J16" s="958"/>
    </row>
    <row r="17" spans="1:13" ht="18" customHeight="1">
      <c r="A17" s="472" t="s">
        <v>281</v>
      </c>
      <c r="B17" s="471">
        <v>43831.3</v>
      </c>
      <c r="C17" s="471">
        <f t="shared" si="4"/>
        <v>3353.0944500000001</v>
      </c>
      <c r="D17" s="471">
        <v>119.9</v>
      </c>
      <c r="E17" s="471">
        <f t="shared" si="0"/>
        <v>1687.2771272400003</v>
      </c>
      <c r="F17" s="471">
        <v>1455.67</v>
      </c>
      <c r="G17" s="471">
        <v>8960.0400000000009</v>
      </c>
      <c r="H17" s="471">
        <f t="shared" si="1"/>
        <v>4163.9735000000001</v>
      </c>
      <c r="I17" s="154">
        <f t="shared" si="5"/>
        <v>63571.255077239999</v>
      </c>
      <c r="J17" s="958"/>
    </row>
    <row r="18" spans="1:13" ht="18" customHeight="1">
      <c r="A18" s="472" t="s">
        <v>281</v>
      </c>
      <c r="B18" s="471">
        <v>42631.3</v>
      </c>
      <c r="C18" s="471">
        <f t="shared" ref="C18:C20" si="6">B18*0.0765</f>
        <v>3261.2944500000003</v>
      </c>
      <c r="D18" s="471">
        <v>119.9</v>
      </c>
      <c r="E18" s="471">
        <f t="shared" si="0"/>
        <v>1641.0833672400004</v>
      </c>
      <c r="F18" s="471">
        <v>1455.67</v>
      </c>
      <c r="G18" s="471">
        <v>6983.72</v>
      </c>
      <c r="H18" s="471">
        <f t="shared" si="1"/>
        <v>4049.9735000000005</v>
      </c>
      <c r="I18" s="154">
        <f t="shared" ref="I18:I20" si="7">SUM(B18:H18)</f>
        <v>60142.941317240002</v>
      </c>
      <c r="J18" s="958"/>
    </row>
    <row r="19" spans="1:13" ht="18" customHeight="1">
      <c r="A19" s="472" t="s">
        <v>281</v>
      </c>
      <c r="B19" s="471">
        <v>42631.3</v>
      </c>
      <c r="C19" s="471">
        <f t="shared" si="6"/>
        <v>3261.2944500000003</v>
      </c>
      <c r="D19" s="471">
        <v>119.9</v>
      </c>
      <c r="E19" s="471">
        <f t="shared" si="0"/>
        <v>1641.0833672400004</v>
      </c>
      <c r="F19" s="471">
        <v>1455.67</v>
      </c>
      <c r="G19" s="471">
        <v>8960.0400000000009</v>
      </c>
      <c r="H19" s="471">
        <f t="shared" si="1"/>
        <v>4049.9735000000005</v>
      </c>
      <c r="I19" s="154">
        <f t="shared" si="7"/>
        <v>62119.261317240002</v>
      </c>
      <c r="J19" s="958"/>
    </row>
    <row r="20" spans="1:13" ht="18" customHeight="1">
      <c r="A20" s="472" t="s">
        <v>281</v>
      </c>
      <c r="B20" s="471">
        <v>41671.300000000003</v>
      </c>
      <c r="C20" s="471">
        <f t="shared" si="6"/>
        <v>3187.8544500000003</v>
      </c>
      <c r="D20" s="471">
        <v>119.9</v>
      </c>
      <c r="E20" s="471">
        <f t="shared" si="0"/>
        <v>1604.1283592400002</v>
      </c>
      <c r="F20" s="471">
        <v>1455.67</v>
      </c>
      <c r="G20" s="471">
        <v>4777.76</v>
      </c>
      <c r="H20" s="471">
        <f t="shared" si="1"/>
        <v>3958.7735000000002</v>
      </c>
      <c r="I20" s="154">
        <f t="shared" si="7"/>
        <v>56775.386309240006</v>
      </c>
      <c r="J20" s="958"/>
    </row>
    <row r="21" spans="1:13" ht="18" customHeight="1">
      <c r="A21" s="472" t="s">
        <v>473</v>
      </c>
      <c r="B21" s="471">
        <v>250096.8</v>
      </c>
      <c r="C21" s="471">
        <f t="shared" ref="C21:C22" si="8">B21*0.0765</f>
        <v>19132.405199999997</v>
      </c>
      <c r="D21" s="471">
        <v>720</v>
      </c>
      <c r="E21" s="471">
        <f t="shared" ref="E21:E26" si="9">B21/100*3.33*1.36*0.85</f>
        <v>9627.4262966400001</v>
      </c>
      <c r="F21" s="471">
        <v>8734.02</v>
      </c>
      <c r="G21" s="471">
        <v>31503.8</v>
      </c>
      <c r="H21" s="471">
        <f t="shared" si="1"/>
        <v>23759.196</v>
      </c>
      <c r="I21" s="154">
        <f t="shared" ref="I21:I22" si="10">SUM(B21:H21)</f>
        <v>343573.64749663998</v>
      </c>
      <c r="J21" s="958"/>
    </row>
    <row r="22" spans="1:13" ht="18" customHeight="1">
      <c r="A22" s="472" t="s">
        <v>474</v>
      </c>
      <c r="B22" s="471">
        <v>80054.179999999993</v>
      </c>
      <c r="C22" s="471">
        <f t="shared" si="8"/>
        <v>6124.144769999999</v>
      </c>
      <c r="D22" s="471">
        <v>240</v>
      </c>
      <c r="E22" s="471">
        <f t="shared" si="9"/>
        <v>3081.669648264</v>
      </c>
      <c r="F22" s="471">
        <v>2911.3420000000001</v>
      </c>
      <c r="G22" s="471">
        <v>9555.52</v>
      </c>
      <c r="H22" s="471">
        <f t="shared" si="1"/>
        <v>7605.1470999999992</v>
      </c>
      <c r="I22" s="154">
        <f t="shared" si="10"/>
        <v>109572.003518264</v>
      </c>
      <c r="J22" s="958"/>
    </row>
    <row r="23" spans="1:13" ht="18" customHeight="1">
      <c r="A23" s="480" t="s">
        <v>462</v>
      </c>
      <c r="B23" s="481">
        <v>39372.449999999997</v>
      </c>
      <c r="C23" s="481">
        <f>B23*0.0765</f>
        <v>3011.9924249999999</v>
      </c>
      <c r="D23" s="481">
        <v>120</v>
      </c>
      <c r="E23" s="481">
        <f t="shared" si="9"/>
        <v>1515.6345882599999</v>
      </c>
      <c r="F23" s="471">
        <v>1455.67</v>
      </c>
      <c r="G23" s="481">
        <v>4777.76</v>
      </c>
      <c r="H23" s="471">
        <f t="shared" si="1"/>
        <v>3740.3827499999998</v>
      </c>
      <c r="I23" s="462">
        <f>SUM(B23:H23)</f>
        <v>53993.889763259991</v>
      </c>
      <c r="J23" s="958"/>
      <c r="L23" s="463"/>
    </row>
    <row r="24" spans="1:13" ht="17.25" customHeight="1">
      <c r="A24" s="475" t="s">
        <v>91</v>
      </c>
      <c r="B24" s="470">
        <v>65220</v>
      </c>
      <c r="C24" s="470">
        <f t="shared" si="3"/>
        <v>4989.33</v>
      </c>
      <c r="D24" s="476"/>
      <c r="E24" s="470">
        <f t="shared" si="9"/>
        <v>2510.6308560000002</v>
      </c>
      <c r="F24" s="476"/>
      <c r="G24" s="476"/>
      <c r="H24" s="470">
        <f t="shared" si="1"/>
        <v>6195.9</v>
      </c>
      <c r="I24" s="156">
        <f t="shared" si="5"/>
        <v>78915.860855999999</v>
      </c>
      <c r="J24" s="958"/>
    </row>
    <row r="25" spans="1:13" ht="18" customHeight="1">
      <c r="A25" s="477" t="s">
        <v>193</v>
      </c>
      <c r="B25" s="471">
        <v>11869</v>
      </c>
      <c r="C25" s="471">
        <f t="shared" si="3"/>
        <v>907.97849999999994</v>
      </c>
      <c r="D25" s="478"/>
      <c r="E25" s="471">
        <f t="shared" si="9"/>
        <v>456.89478120000001</v>
      </c>
      <c r="F25" s="478"/>
      <c r="G25" s="478"/>
      <c r="H25" s="471">
        <f t="shared" si="1"/>
        <v>1127.5550000000001</v>
      </c>
      <c r="I25" s="154">
        <f t="shared" si="5"/>
        <v>14361.4282812</v>
      </c>
      <c r="J25" s="958"/>
      <c r="L25" s="463"/>
    </row>
    <row r="26" spans="1:13" ht="18" customHeight="1">
      <c r="A26" s="477" t="s">
        <v>469</v>
      </c>
      <c r="B26" s="471">
        <v>16124</v>
      </c>
      <c r="C26" s="471">
        <f t="shared" si="3"/>
        <v>1233.4859999999999</v>
      </c>
      <c r="D26" s="471">
        <v>492</v>
      </c>
      <c r="E26" s="471">
        <f t="shared" si="9"/>
        <v>620.69015520000005</v>
      </c>
      <c r="F26" s="471">
        <v>650.21119999999996</v>
      </c>
      <c r="G26" s="478"/>
      <c r="H26" s="478"/>
      <c r="I26" s="154">
        <f t="shared" si="5"/>
        <v>19120.387355200004</v>
      </c>
      <c r="J26" s="958"/>
      <c r="M26" s="463"/>
    </row>
    <row r="27" spans="1:13" ht="18" customHeight="1">
      <c r="A27" s="508" t="s">
        <v>467</v>
      </c>
      <c r="B27" s="510"/>
      <c r="C27" s="510"/>
      <c r="D27" s="510"/>
      <c r="E27" s="509">
        <v>965.41</v>
      </c>
      <c r="F27" s="509">
        <v>405.59</v>
      </c>
      <c r="G27" s="510"/>
      <c r="H27" s="528"/>
      <c r="I27" s="154">
        <f t="shared" si="5"/>
        <v>1371</v>
      </c>
      <c r="J27" s="958"/>
      <c r="M27" s="463"/>
    </row>
    <row r="28" spans="1:13" ht="18" customHeight="1">
      <c r="A28" s="469" t="s">
        <v>282</v>
      </c>
      <c r="B28" s="470">
        <v>86707.199999999997</v>
      </c>
      <c r="C28" s="470">
        <f t="shared" si="3"/>
        <v>6633.1007999999993</v>
      </c>
      <c r="D28" s="470">
        <v>120</v>
      </c>
      <c r="E28" s="470">
        <f t="shared" ref="E28:E34" si="11">B28/100*0.44*1.36*0.85</f>
        <v>441.02750207999998</v>
      </c>
      <c r="F28" s="470">
        <v>1455.671</v>
      </c>
      <c r="G28" s="470">
        <v>8960.0400000000009</v>
      </c>
      <c r="H28" s="470">
        <f t="shared" ref="H28:H31" si="12">B28*0.095</f>
        <v>8237.1839999999993</v>
      </c>
      <c r="I28" s="156">
        <f t="shared" ref="I28:I33" si="13">SUM(B28:H28)</f>
        <v>112554.22330207999</v>
      </c>
      <c r="J28" s="958"/>
    </row>
    <row r="29" spans="1:13" ht="18" customHeight="1">
      <c r="A29" s="472" t="s">
        <v>382</v>
      </c>
      <c r="B29" s="471">
        <v>69769.600000000006</v>
      </c>
      <c r="C29" s="471">
        <f t="shared" ref="C29" si="14">B29*0.0765</f>
        <v>5337.3744000000006</v>
      </c>
      <c r="D29" s="471">
        <v>120</v>
      </c>
      <c r="E29" s="471">
        <f t="shared" si="11"/>
        <v>354.87609344000003</v>
      </c>
      <c r="F29" s="471">
        <v>1455.671</v>
      </c>
      <c r="G29" s="471">
        <v>8960.0400000000009</v>
      </c>
      <c r="H29" s="471">
        <f t="shared" si="12"/>
        <v>6628.112000000001</v>
      </c>
      <c r="I29" s="154">
        <f t="shared" ref="I29" si="15">SUM(B29:H29)</f>
        <v>92625.673493440001</v>
      </c>
      <c r="J29" s="958"/>
      <c r="M29" s="463"/>
    </row>
    <row r="30" spans="1:13" ht="18" customHeight="1">
      <c r="A30" s="472" t="s">
        <v>283</v>
      </c>
      <c r="B30" s="471">
        <v>49276</v>
      </c>
      <c r="C30" s="471">
        <f t="shared" si="3"/>
        <v>3769.614</v>
      </c>
      <c r="D30" s="471">
        <v>120</v>
      </c>
      <c r="E30" s="471">
        <f t="shared" si="11"/>
        <v>250.63744640000002</v>
      </c>
      <c r="F30" s="471">
        <v>1118.961</v>
      </c>
      <c r="G30" s="471">
        <v>4777.76</v>
      </c>
      <c r="H30" s="471">
        <f t="shared" si="12"/>
        <v>4681.22</v>
      </c>
      <c r="I30" s="154">
        <f t="shared" si="13"/>
        <v>63994.192446400004</v>
      </c>
      <c r="J30" s="958"/>
    </row>
    <row r="31" spans="1:13" ht="18" customHeight="1">
      <c r="A31" s="473" t="s">
        <v>273</v>
      </c>
      <c r="B31" s="474">
        <v>37107</v>
      </c>
      <c r="C31" s="474">
        <f t="shared" si="3"/>
        <v>2838.6855</v>
      </c>
      <c r="D31" s="474">
        <v>119.9</v>
      </c>
      <c r="E31" s="474">
        <f t="shared" si="11"/>
        <v>188.7410448</v>
      </c>
      <c r="F31" s="474">
        <v>1455.671</v>
      </c>
      <c r="G31" s="474">
        <v>4777.76</v>
      </c>
      <c r="H31" s="474">
        <f t="shared" si="12"/>
        <v>3525.165</v>
      </c>
      <c r="I31" s="155">
        <f t="shared" si="13"/>
        <v>50012.922544800007</v>
      </c>
      <c r="J31" s="958"/>
    </row>
    <row r="32" spans="1:13" ht="18" customHeight="1">
      <c r="A32" s="469" t="s">
        <v>465</v>
      </c>
      <c r="B32" s="470">
        <v>7721</v>
      </c>
      <c r="C32" s="470">
        <f t="shared" ref="C32" si="16">B32*0.0765</f>
        <v>590.65649999999994</v>
      </c>
      <c r="D32" s="470">
        <v>60</v>
      </c>
      <c r="E32" s="470">
        <f t="shared" si="11"/>
        <v>39.272094400000007</v>
      </c>
      <c r="F32" s="470">
        <v>650.21119999999996</v>
      </c>
      <c r="G32" s="476"/>
      <c r="H32" s="476"/>
      <c r="I32" s="156">
        <f t="shared" ref="I32" si="17">SUM(B32:H32)</f>
        <v>9061.1397943999982</v>
      </c>
      <c r="J32" s="958"/>
    </row>
    <row r="33" spans="1:12" ht="18" customHeight="1">
      <c r="A33" s="472" t="s">
        <v>464</v>
      </c>
      <c r="B33" s="471">
        <v>3469</v>
      </c>
      <c r="C33" s="471">
        <f t="shared" si="3"/>
        <v>265.37849999999997</v>
      </c>
      <c r="D33" s="471">
        <v>50</v>
      </c>
      <c r="E33" s="471">
        <f t="shared" si="11"/>
        <v>17.6447216</v>
      </c>
      <c r="F33" s="471">
        <v>650.21119999999996</v>
      </c>
      <c r="G33" s="478"/>
      <c r="H33" s="478"/>
      <c r="I33" s="154">
        <f t="shared" si="13"/>
        <v>4452.2344216000001</v>
      </c>
      <c r="J33" s="958"/>
    </row>
    <row r="34" spans="1:12" ht="18" customHeight="1">
      <c r="A34" s="472" t="s">
        <v>463</v>
      </c>
      <c r="B34" s="471">
        <v>17372</v>
      </c>
      <c r="C34" s="471">
        <f>B34*0.0765</f>
        <v>1328.9580000000001</v>
      </c>
      <c r="D34" s="471">
        <v>70</v>
      </c>
      <c r="E34" s="471">
        <f t="shared" si="11"/>
        <v>88.360940800000009</v>
      </c>
      <c r="F34" s="471">
        <v>650.21119999999996</v>
      </c>
      <c r="G34" s="478"/>
      <c r="H34" s="478"/>
      <c r="I34" s="154">
        <f>SUM(B34:H34)</f>
        <v>19509.530140800001</v>
      </c>
      <c r="J34" s="958"/>
    </row>
    <row r="35" spans="1:12" ht="15.75" customHeight="1">
      <c r="A35" s="536" t="s">
        <v>470</v>
      </c>
      <c r="B35" s="470">
        <v>-3856.11</v>
      </c>
      <c r="C35" s="470">
        <f t="shared" si="3"/>
        <v>-294.99241499999999</v>
      </c>
      <c r="D35" s="470"/>
      <c r="E35" s="470">
        <v>-148.66</v>
      </c>
      <c r="F35" s="470"/>
      <c r="G35" s="511">
        <v>1233.76</v>
      </c>
      <c r="H35" s="470">
        <v>-366.36</v>
      </c>
      <c r="I35" s="156">
        <f>SUM(B35:H35)</f>
        <v>-3432.3624150000001</v>
      </c>
      <c r="J35" s="958"/>
      <c r="L35" s="463"/>
    </row>
    <row r="36" spans="1:12" ht="16.5" customHeight="1">
      <c r="A36" s="535" t="s">
        <v>466</v>
      </c>
      <c r="B36" s="512"/>
      <c r="C36" s="512"/>
      <c r="D36" s="512"/>
      <c r="E36" s="512">
        <v>-8383</v>
      </c>
      <c r="F36" s="512"/>
      <c r="G36" s="513">
        <v>-14771.84</v>
      </c>
      <c r="H36" s="513"/>
      <c r="I36" s="155">
        <f>SUM(B36:H36)</f>
        <v>-23154.84</v>
      </c>
      <c r="J36" s="958"/>
    </row>
    <row r="37" spans="1:12" ht="18" customHeight="1" thickBot="1">
      <c r="A37" s="479"/>
      <c r="B37" s="534">
        <f>SUM(B2:B36)</f>
        <v>1673766.0899999999</v>
      </c>
      <c r="C37" s="533">
        <f t="shared" ref="C37:H37" si="18">SUM(C2:C36)</f>
        <v>128043.105885</v>
      </c>
      <c r="D37" s="533">
        <f t="shared" si="18"/>
        <v>4510</v>
      </c>
      <c r="E37" s="534">
        <f t="shared" si="18"/>
        <v>47945.713001439981</v>
      </c>
      <c r="F37" s="533">
        <f t="shared" si="18"/>
        <v>49251.170799999978</v>
      </c>
      <c r="G37" s="533">
        <f t="shared" si="18"/>
        <v>188738.84000000005</v>
      </c>
      <c r="H37" s="534">
        <f t="shared" si="18"/>
        <v>154762.57900000003</v>
      </c>
      <c r="I37" s="533">
        <f>SUM(I2:I36)</f>
        <v>2247017.4986864403</v>
      </c>
      <c r="J37" s="958"/>
    </row>
    <row r="38" spans="1:12" ht="14.25" customHeight="1" thickTop="1">
      <c r="A38" s="311" t="s">
        <v>475</v>
      </c>
      <c r="B38" s="311"/>
      <c r="C38" s="955">
        <f>SUM(C37:H37)</f>
        <v>573251.40868644009</v>
      </c>
      <c r="D38" s="956"/>
      <c r="E38" s="956"/>
      <c r="F38" s="956"/>
      <c r="G38" s="956"/>
      <c r="H38" s="957"/>
      <c r="I38" s="311"/>
      <c r="J38" s="958"/>
    </row>
    <row r="39" spans="1:12" ht="13.5" customHeight="1">
      <c r="A39" s="22" t="s">
        <v>461</v>
      </c>
      <c r="B39" s="102"/>
      <c r="C39" s="102"/>
      <c r="D39" s="102"/>
      <c r="E39" s="102"/>
      <c r="F39" s="102"/>
      <c r="G39" s="102"/>
      <c r="H39" s="102"/>
    </row>
  </sheetData>
  <mergeCells count="2">
    <mergeCell ref="C38:H38"/>
    <mergeCell ref="J1:J38"/>
  </mergeCells>
  <phoneticPr fontId="19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J29"/>
  <sheetViews>
    <sheetView workbookViewId="0"/>
  </sheetViews>
  <sheetFormatPr defaultRowHeight="12.75"/>
  <cols>
    <col min="1" max="1" width="6.28515625" customWidth="1"/>
    <col min="2" max="3" width="11.28515625" customWidth="1"/>
    <col min="4" max="4" width="11.28515625" style="461" customWidth="1"/>
    <col min="5" max="7" width="14" customWidth="1"/>
    <col min="8" max="8" width="11.42578125" customWidth="1"/>
    <col min="9" max="9" width="10.28515625" bestFit="1" customWidth="1"/>
  </cols>
  <sheetData>
    <row r="1" spans="1:10" ht="20.100000000000001" customHeight="1">
      <c r="A1" s="962" t="s">
        <v>645</v>
      </c>
      <c r="B1" s="962"/>
      <c r="C1" s="962"/>
      <c r="D1" s="962"/>
      <c r="E1" s="962"/>
      <c r="F1" s="962"/>
      <c r="G1" s="962"/>
    </row>
    <row r="2" spans="1:10" ht="20.100000000000001" customHeight="1">
      <c r="A2" s="24"/>
      <c r="B2" s="24"/>
      <c r="C2" s="24"/>
      <c r="D2" s="460"/>
      <c r="E2" s="24"/>
      <c r="F2" s="24"/>
      <c r="G2" s="24"/>
    </row>
    <row r="3" spans="1:10" ht="20.100000000000001" customHeight="1">
      <c r="A3" s="371"/>
      <c r="B3" s="959" t="s">
        <v>194</v>
      </c>
      <c r="C3" s="959"/>
      <c r="D3" s="959"/>
      <c r="E3" s="960" t="s">
        <v>247</v>
      </c>
      <c r="F3" s="959"/>
      <c r="G3" s="961"/>
      <c r="H3" s="18"/>
    </row>
    <row r="4" spans="1:10" ht="20.100000000000001" customHeight="1">
      <c r="A4" s="293"/>
      <c r="B4" s="540" t="s">
        <v>477</v>
      </c>
      <c r="C4" s="503" t="s">
        <v>553</v>
      </c>
      <c r="D4" s="503" t="s">
        <v>634</v>
      </c>
      <c r="E4" s="614" t="s">
        <v>477</v>
      </c>
      <c r="F4" s="498" t="s">
        <v>553</v>
      </c>
      <c r="G4" s="498" t="s">
        <v>634</v>
      </c>
      <c r="H4" s="13"/>
      <c r="I4" s="20"/>
      <c r="J4" s="19"/>
    </row>
    <row r="5" spans="1:10" ht="20.100000000000001" customHeight="1">
      <c r="A5" s="295" t="s">
        <v>195</v>
      </c>
      <c r="B5" s="541">
        <v>13.4</v>
      </c>
      <c r="C5" s="504">
        <v>13.67</v>
      </c>
      <c r="D5" s="504">
        <v>14.08</v>
      </c>
      <c r="E5" s="768">
        <f>B5*2990</f>
        <v>40066</v>
      </c>
      <c r="F5" s="615">
        <f>C5*2990</f>
        <v>40873.300000000003</v>
      </c>
      <c r="G5" s="500">
        <f>D5*2990</f>
        <v>42099.199999999997</v>
      </c>
      <c r="H5" s="16"/>
      <c r="I5" s="16"/>
      <c r="J5" s="16"/>
    </row>
    <row r="6" spans="1:10" ht="20.100000000000001" customHeight="1" thickBot="1">
      <c r="A6" s="296"/>
      <c r="B6" s="542"/>
      <c r="C6" s="505"/>
      <c r="D6" s="505"/>
      <c r="E6" s="612"/>
      <c r="F6" s="616"/>
      <c r="G6" s="501"/>
      <c r="J6" s="16"/>
    </row>
    <row r="7" spans="1:10" ht="20.100000000000001" customHeight="1">
      <c r="A7" s="297"/>
      <c r="B7" s="543" t="s">
        <v>478</v>
      </c>
      <c r="C7" s="506" t="s">
        <v>557</v>
      </c>
      <c r="D7" s="506" t="s">
        <v>635</v>
      </c>
      <c r="E7" s="617" t="s">
        <v>478</v>
      </c>
      <c r="F7" s="499" t="s">
        <v>557</v>
      </c>
      <c r="G7" s="499" t="s">
        <v>635</v>
      </c>
      <c r="J7" s="16"/>
    </row>
    <row r="8" spans="1:10" ht="20.100000000000001" customHeight="1">
      <c r="A8" s="294" t="s">
        <v>195</v>
      </c>
      <c r="B8" s="541">
        <v>14.92</v>
      </c>
      <c r="C8" s="504">
        <v>15.67</v>
      </c>
      <c r="D8" s="504">
        <v>16.14</v>
      </c>
      <c r="E8" s="768">
        <f>B8*2990</f>
        <v>44610.8</v>
      </c>
      <c r="F8" s="615">
        <f>C8*2990</f>
        <v>46853.3</v>
      </c>
      <c r="G8" s="500">
        <f>D8*2990</f>
        <v>48258.6</v>
      </c>
      <c r="J8" s="16"/>
    </row>
    <row r="9" spans="1:10" ht="20.100000000000001" customHeight="1" thickBot="1">
      <c r="A9" s="296"/>
      <c r="B9" s="542"/>
      <c r="C9" s="505"/>
      <c r="D9" s="505"/>
      <c r="E9" s="612"/>
      <c r="F9" s="616"/>
      <c r="G9" s="501"/>
      <c r="J9" s="16"/>
    </row>
    <row r="10" spans="1:10" ht="20.100000000000001" customHeight="1">
      <c r="A10" s="297"/>
      <c r="B10" s="543" t="s">
        <v>479</v>
      </c>
      <c r="C10" s="506" t="s">
        <v>560</v>
      </c>
      <c r="D10" s="506" t="s">
        <v>636</v>
      </c>
      <c r="E10" s="617" t="s">
        <v>481</v>
      </c>
      <c r="F10" s="499" t="s">
        <v>558</v>
      </c>
      <c r="G10" s="499" t="s">
        <v>637</v>
      </c>
      <c r="J10" s="16"/>
    </row>
    <row r="11" spans="1:10" ht="20.100000000000001" customHeight="1">
      <c r="A11" s="294" t="s">
        <v>195</v>
      </c>
      <c r="B11" s="541">
        <v>15.94</v>
      </c>
      <c r="C11" s="504">
        <v>17.53</v>
      </c>
      <c r="D11" s="504">
        <v>18.059999999999999</v>
      </c>
      <c r="E11" s="768">
        <f>B11*2990</f>
        <v>47660.6</v>
      </c>
      <c r="F11" s="615">
        <f>C11*2990</f>
        <v>52414.700000000004</v>
      </c>
      <c r="G11" s="500">
        <f>D11*2990</f>
        <v>53999.399999999994</v>
      </c>
    </row>
    <row r="12" spans="1:10" ht="20.100000000000001" customHeight="1" thickBot="1">
      <c r="A12" s="296"/>
      <c r="B12" s="542"/>
      <c r="C12" s="505"/>
      <c r="D12" s="505"/>
      <c r="E12" s="612"/>
      <c r="F12" s="616"/>
      <c r="G12" s="501"/>
    </row>
    <row r="13" spans="1:10" ht="20.100000000000001" customHeight="1">
      <c r="A13" s="297"/>
      <c r="B13" s="543" t="s">
        <v>480</v>
      </c>
      <c r="C13" s="506" t="s">
        <v>559</v>
      </c>
      <c r="D13" s="506" t="s">
        <v>638</v>
      </c>
      <c r="E13" s="617" t="s">
        <v>480</v>
      </c>
      <c r="F13" s="499" t="s">
        <v>559</v>
      </c>
      <c r="G13" s="499" t="s">
        <v>638</v>
      </c>
    </row>
    <row r="14" spans="1:10" ht="20.100000000000001" customHeight="1">
      <c r="A14" s="294" t="s">
        <v>195</v>
      </c>
      <c r="B14" s="541">
        <v>18.38</v>
      </c>
      <c r="C14" s="504">
        <v>18.75</v>
      </c>
      <c r="D14" s="504">
        <v>19.309999999999999</v>
      </c>
      <c r="E14" s="768">
        <f>B14*2990</f>
        <v>54956.2</v>
      </c>
      <c r="F14" s="615">
        <f>C14*2990</f>
        <v>56062.5</v>
      </c>
      <c r="G14" s="500">
        <f>D14*2990</f>
        <v>57736.899999999994</v>
      </c>
    </row>
    <row r="15" spans="1:10" ht="20.100000000000001" customHeight="1">
      <c r="A15" s="145"/>
      <c r="B15" s="544"/>
      <c r="C15" s="507"/>
      <c r="D15" s="507"/>
      <c r="E15" s="613"/>
      <c r="F15" s="618"/>
      <c r="G15" s="502"/>
      <c r="H15" s="16"/>
    </row>
    <row r="16" spans="1:10" ht="20.100000000000001" customHeight="1"/>
    <row r="17" spans="4:4" ht="20.100000000000001" customHeight="1"/>
    <row r="18" spans="4:4" ht="20.100000000000001" customHeight="1">
      <c r="D18" s="783"/>
    </row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0.100000000000001" customHeight="1"/>
    <row r="27" spans="4:4" ht="20.100000000000001" customHeight="1"/>
    <row r="28" spans="4:4" ht="20.100000000000001" customHeight="1"/>
    <row r="29" spans="4:4" ht="20.100000000000001" customHeight="1"/>
  </sheetData>
  <mergeCells count="3">
    <mergeCell ref="B3:D3"/>
    <mergeCell ref="E3:G3"/>
    <mergeCell ref="A1:G1"/>
  </mergeCells>
  <phoneticPr fontId="19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31"/>
  <sheetViews>
    <sheetView workbookViewId="0"/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16.5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56" ht="30" customHeight="1">
      <c r="A2" s="963" t="s">
        <v>513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157"/>
      <c r="O2" s="157"/>
      <c r="P2" s="157"/>
    </row>
    <row r="3" spans="1:56" ht="9.75" customHeight="1">
      <c r="A3" s="158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56" ht="23.25" customHeight="1">
      <c r="A4" s="966" t="s">
        <v>57</v>
      </c>
      <c r="B4" s="967"/>
      <c r="C4" s="967"/>
      <c r="D4" s="964" t="s">
        <v>646</v>
      </c>
      <c r="E4" s="965"/>
      <c r="F4" s="964" t="s">
        <v>649</v>
      </c>
      <c r="G4" s="965"/>
      <c r="H4" s="964" t="s">
        <v>647</v>
      </c>
      <c r="I4" s="965"/>
      <c r="J4" s="964" t="s">
        <v>648</v>
      </c>
      <c r="K4" s="965"/>
      <c r="O4" s="157"/>
      <c r="P4" s="157"/>
    </row>
    <row r="5" spans="1:56" ht="9.75" customHeight="1">
      <c r="A5" s="158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56" ht="13.5" thickBot="1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56" ht="19.5" customHeight="1">
      <c r="A7" s="161" t="s">
        <v>58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3"/>
      <c r="M7" s="16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ht="19.5" customHeight="1">
      <c r="A8" s="165"/>
      <c r="B8" s="166"/>
      <c r="C8" s="167" t="s">
        <v>392</v>
      </c>
      <c r="D8" s="168">
        <v>0</v>
      </c>
      <c r="E8" s="168">
        <v>1</v>
      </c>
      <c r="F8" s="168">
        <v>2</v>
      </c>
      <c r="G8" s="168">
        <v>3</v>
      </c>
      <c r="H8" s="168">
        <v>4</v>
      </c>
      <c r="I8" s="168">
        <v>5</v>
      </c>
      <c r="J8" s="168">
        <v>6</v>
      </c>
      <c r="K8" s="168">
        <v>7</v>
      </c>
      <c r="L8" s="168">
        <v>8</v>
      </c>
      <c r="M8" s="169">
        <v>9</v>
      </c>
    </row>
    <row r="9" spans="1:56" ht="19.5" customHeight="1">
      <c r="A9" s="165"/>
      <c r="B9" s="170" t="s">
        <v>59</v>
      </c>
      <c r="C9" s="171"/>
      <c r="D9" s="172"/>
      <c r="E9" s="173"/>
      <c r="F9" s="173"/>
      <c r="G9" s="173"/>
      <c r="H9" s="173"/>
      <c r="I9" s="173"/>
      <c r="J9" s="173"/>
      <c r="K9" s="173"/>
      <c r="L9" s="173"/>
      <c r="M9" s="174"/>
    </row>
    <row r="10" spans="1:56" ht="19.5" customHeight="1">
      <c r="A10" s="165"/>
      <c r="B10" s="166"/>
      <c r="C10" s="175" t="s">
        <v>60</v>
      </c>
      <c r="D10" s="176">
        <v>0</v>
      </c>
      <c r="E10" s="176">
        <v>0.25</v>
      </c>
      <c r="F10" s="176">
        <v>0.2</v>
      </c>
      <c r="G10" s="176">
        <v>0.15</v>
      </c>
      <c r="H10" s="176">
        <v>0.1</v>
      </c>
      <c r="I10" s="176">
        <v>0.1</v>
      </c>
      <c r="J10" s="176">
        <v>0.1</v>
      </c>
      <c r="K10" s="176">
        <v>0.1</v>
      </c>
      <c r="L10" s="176">
        <v>0.1</v>
      </c>
      <c r="M10" s="177">
        <v>0.1</v>
      </c>
    </row>
    <row r="11" spans="1:56" ht="19.5" customHeight="1">
      <c r="A11" s="165"/>
      <c r="B11" s="166"/>
      <c r="C11" s="175" t="s">
        <v>61</v>
      </c>
      <c r="D11" s="176">
        <v>0</v>
      </c>
      <c r="E11" s="176">
        <v>0.25</v>
      </c>
      <c r="F11" s="176">
        <f t="shared" ref="F11:M11" si="0">+E11+F10</f>
        <v>0.45</v>
      </c>
      <c r="G11" s="176">
        <f t="shared" si="0"/>
        <v>0.6</v>
      </c>
      <c r="H11" s="176">
        <f t="shared" si="0"/>
        <v>0.7</v>
      </c>
      <c r="I11" s="176">
        <f t="shared" si="0"/>
        <v>0.79999999999999993</v>
      </c>
      <c r="J11" s="176">
        <f t="shared" si="0"/>
        <v>0.89999999999999991</v>
      </c>
      <c r="K11" s="176">
        <f t="shared" si="0"/>
        <v>0.99999999999999989</v>
      </c>
      <c r="L11" s="176">
        <f t="shared" si="0"/>
        <v>1.0999999999999999</v>
      </c>
      <c r="M11" s="177">
        <f t="shared" si="0"/>
        <v>1.2</v>
      </c>
    </row>
    <row r="12" spans="1:56" ht="19.5" customHeight="1">
      <c r="A12" s="165"/>
      <c r="B12" s="166"/>
      <c r="C12" s="175" t="s">
        <v>62</v>
      </c>
      <c r="D12" s="176">
        <v>0</v>
      </c>
      <c r="E12" s="176">
        <f t="shared" ref="E12:M12" si="1">+E11*229.666</f>
        <v>57.416499999999999</v>
      </c>
      <c r="F12" s="176">
        <f t="shared" si="1"/>
        <v>103.3497</v>
      </c>
      <c r="G12" s="176">
        <f t="shared" si="1"/>
        <v>137.7996</v>
      </c>
      <c r="H12" s="176">
        <f t="shared" si="1"/>
        <v>160.7662</v>
      </c>
      <c r="I12" s="176">
        <f t="shared" si="1"/>
        <v>183.73279999999997</v>
      </c>
      <c r="J12" s="176">
        <f t="shared" si="1"/>
        <v>206.69939999999997</v>
      </c>
      <c r="K12" s="176">
        <f t="shared" si="1"/>
        <v>229.66599999999997</v>
      </c>
      <c r="L12" s="176">
        <f t="shared" si="1"/>
        <v>252.63259999999997</v>
      </c>
      <c r="M12" s="177">
        <f t="shared" si="1"/>
        <v>275.5992</v>
      </c>
    </row>
    <row r="13" spans="1:56" ht="19.5" customHeight="1" thickBot="1">
      <c r="A13" s="178"/>
      <c r="B13" s="179"/>
      <c r="C13" s="180" t="s">
        <v>63</v>
      </c>
      <c r="D13" s="181">
        <v>0</v>
      </c>
      <c r="E13" s="181">
        <f t="shared" ref="E13:M13" si="2">+E12*12</f>
        <v>688.99800000000005</v>
      </c>
      <c r="F13" s="181">
        <f t="shared" si="2"/>
        <v>1240.1964</v>
      </c>
      <c r="G13" s="181">
        <f t="shared" si="2"/>
        <v>1653.5952</v>
      </c>
      <c r="H13" s="181">
        <f t="shared" si="2"/>
        <v>1929.1943999999999</v>
      </c>
      <c r="I13" s="181">
        <f t="shared" si="2"/>
        <v>2204.7935999999995</v>
      </c>
      <c r="J13" s="181">
        <f t="shared" si="2"/>
        <v>2480.3927999999996</v>
      </c>
      <c r="K13" s="181">
        <f t="shared" si="2"/>
        <v>2755.9919999999997</v>
      </c>
      <c r="L13" s="181">
        <f t="shared" si="2"/>
        <v>3031.5911999999998</v>
      </c>
      <c r="M13" s="182">
        <f t="shared" si="2"/>
        <v>3307.1904</v>
      </c>
    </row>
    <row r="15" spans="1:56" ht="13.5" thickBot="1"/>
    <row r="16" spans="1:56" ht="19.5" customHeight="1">
      <c r="A16" s="161" t="s">
        <v>58</v>
      </c>
      <c r="B16" s="162"/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4"/>
    </row>
    <row r="17" spans="1:13" ht="19.5" customHeight="1">
      <c r="A17" s="165"/>
      <c r="B17" s="166"/>
      <c r="C17" s="167" t="s">
        <v>392</v>
      </c>
      <c r="D17" s="168">
        <v>10</v>
      </c>
      <c r="E17" s="183">
        <v>11</v>
      </c>
      <c r="F17" s="168">
        <v>12</v>
      </c>
      <c r="G17" s="168">
        <v>13</v>
      </c>
      <c r="H17" s="168">
        <v>14</v>
      </c>
      <c r="I17" s="168">
        <v>15</v>
      </c>
      <c r="J17" s="168">
        <v>16</v>
      </c>
      <c r="K17" s="168">
        <v>17</v>
      </c>
      <c r="L17" s="168">
        <v>18</v>
      </c>
      <c r="M17" s="169">
        <v>19</v>
      </c>
    </row>
    <row r="18" spans="1:13" ht="19.5" customHeight="1">
      <c r="A18" s="165"/>
      <c r="B18" s="170" t="s">
        <v>59</v>
      </c>
      <c r="C18" s="170"/>
      <c r="D18" s="173"/>
      <c r="E18" s="184"/>
      <c r="F18" s="173"/>
      <c r="G18" s="173"/>
      <c r="H18" s="173"/>
      <c r="I18" s="173"/>
      <c r="J18" s="173"/>
      <c r="K18" s="173"/>
      <c r="L18" s="173"/>
      <c r="M18" s="174"/>
    </row>
    <row r="19" spans="1:13" ht="19.5" customHeight="1">
      <c r="A19" s="165"/>
      <c r="B19" s="166"/>
      <c r="C19" s="175" t="s">
        <v>60</v>
      </c>
      <c r="D19" s="176">
        <v>0.1</v>
      </c>
      <c r="E19" s="176">
        <v>0.1</v>
      </c>
      <c r="F19" s="176">
        <v>0.1</v>
      </c>
      <c r="G19" s="176">
        <v>0.1</v>
      </c>
      <c r="H19" s="176">
        <v>0.1</v>
      </c>
      <c r="I19" s="176">
        <v>0.1</v>
      </c>
      <c r="J19" s="176">
        <v>0.1</v>
      </c>
      <c r="K19" s="176">
        <v>0.1</v>
      </c>
      <c r="L19" s="176">
        <v>0.1</v>
      </c>
      <c r="M19" s="177">
        <v>0.1</v>
      </c>
    </row>
    <row r="20" spans="1:13" ht="19.5" customHeight="1">
      <c r="A20" s="165"/>
      <c r="B20" s="166"/>
      <c r="C20" s="175" t="s">
        <v>61</v>
      </c>
      <c r="D20" s="176">
        <f>+M11+D19</f>
        <v>1.3</v>
      </c>
      <c r="E20" s="185">
        <f t="shared" ref="E20:M20" si="3">+D20+E19</f>
        <v>1.4000000000000001</v>
      </c>
      <c r="F20" s="176">
        <f t="shared" si="3"/>
        <v>1.5000000000000002</v>
      </c>
      <c r="G20" s="176">
        <f t="shared" si="3"/>
        <v>1.6000000000000003</v>
      </c>
      <c r="H20" s="176">
        <f t="shared" si="3"/>
        <v>1.7000000000000004</v>
      </c>
      <c r="I20" s="176">
        <f t="shared" si="3"/>
        <v>1.8000000000000005</v>
      </c>
      <c r="J20" s="176">
        <f t="shared" si="3"/>
        <v>1.9000000000000006</v>
      </c>
      <c r="K20" s="176">
        <f t="shared" si="3"/>
        <v>2.0000000000000004</v>
      </c>
      <c r="L20" s="176">
        <f t="shared" si="3"/>
        <v>2.1000000000000005</v>
      </c>
      <c r="M20" s="177">
        <f t="shared" si="3"/>
        <v>2.2000000000000006</v>
      </c>
    </row>
    <row r="21" spans="1:13" ht="19.5" customHeight="1">
      <c r="A21" s="165"/>
      <c r="B21" s="166"/>
      <c r="C21" s="175" t="s">
        <v>62</v>
      </c>
      <c r="D21" s="176">
        <f t="shared" ref="D21:M21" si="4">+D20*229.666</f>
        <v>298.56580000000002</v>
      </c>
      <c r="E21" s="185">
        <f t="shared" si="4"/>
        <v>321.53240000000005</v>
      </c>
      <c r="F21" s="176">
        <f t="shared" si="4"/>
        <v>344.49900000000002</v>
      </c>
      <c r="G21" s="176">
        <f t="shared" si="4"/>
        <v>367.46560000000005</v>
      </c>
      <c r="H21" s="176">
        <f t="shared" si="4"/>
        <v>390.43220000000008</v>
      </c>
      <c r="I21" s="176">
        <f t="shared" si="4"/>
        <v>413.39880000000011</v>
      </c>
      <c r="J21" s="176">
        <f t="shared" si="4"/>
        <v>436.36540000000014</v>
      </c>
      <c r="K21" s="176">
        <f t="shared" si="4"/>
        <v>459.33200000000011</v>
      </c>
      <c r="L21" s="176">
        <f t="shared" si="4"/>
        <v>482.29860000000014</v>
      </c>
      <c r="M21" s="177">
        <f t="shared" si="4"/>
        <v>505.26520000000016</v>
      </c>
    </row>
    <row r="22" spans="1:13" ht="19.5" customHeight="1" thickBot="1">
      <c r="A22" s="178"/>
      <c r="B22" s="179"/>
      <c r="C22" s="180" t="s">
        <v>63</v>
      </c>
      <c r="D22" s="181">
        <f t="shared" ref="D22:M22" si="5">+D21*12</f>
        <v>3582.7896000000001</v>
      </c>
      <c r="E22" s="186">
        <f t="shared" si="5"/>
        <v>3858.3888000000006</v>
      </c>
      <c r="F22" s="181">
        <f t="shared" si="5"/>
        <v>4133.9880000000003</v>
      </c>
      <c r="G22" s="181">
        <f t="shared" si="5"/>
        <v>4409.5872000000008</v>
      </c>
      <c r="H22" s="181">
        <f t="shared" si="5"/>
        <v>4685.1864000000005</v>
      </c>
      <c r="I22" s="181">
        <f t="shared" si="5"/>
        <v>4960.7856000000011</v>
      </c>
      <c r="J22" s="181">
        <f t="shared" si="5"/>
        <v>5236.3848000000016</v>
      </c>
      <c r="K22" s="181">
        <f t="shared" si="5"/>
        <v>5511.9840000000013</v>
      </c>
      <c r="L22" s="181">
        <f t="shared" si="5"/>
        <v>5787.5832000000019</v>
      </c>
      <c r="M22" s="182">
        <f t="shared" si="5"/>
        <v>6063.1824000000015</v>
      </c>
    </row>
    <row r="24" spans="1:13" ht="13.5" thickBot="1"/>
    <row r="25" spans="1:13" ht="19.5" customHeight="1">
      <c r="A25" s="161" t="s">
        <v>58</v>
      </c>
      <c r="B25" s="162"/>
      <c r="C25" s="162"/>
      <c r="D25" s="163"/>
      <c r="E25" s="163"/>
      <c r="F25" s="163"/>
      <c r="G25" s="163"/>
      <c r="H25" s="163"/>
      <c r="I25" s="163"/>
      <c r="J25" s="163"/>
      <c r="K25" s="163"/>
      <c r="L25" s="163"/>
      <c r="M25" s="164"/>
    </row>
    <row r="26" spans="1:13" ht="19.5" customHeight="1">
      <c r="A26" s="165"/>
      <c r="B26" s="166"/>
      <c r="C26" s="167" t="s">
        <v>392</v>
      </c>
      <c r="D26" s="168">
        <v>20</v>
      </c>
      <c r="E26" s="183">
        <v>21</v>
      </c>
      <c r="F26" s="168">
        <v>22</v>
      </c>
      <c r="G26" s="168">
        <v>23</v>
      </c>
      <c r="H26" s="168">
        <v>24</v>
      </c>
      <c r="I26" s="168">
        <v>25</v>
      </c>
      <c r="J26" s="168">
        <v>26</v>
      </c>
      <c r="K26" s="168">
        <v>27</v>
      </c>
      <c r="L26" s="168">
        <v>28</v>
      </c>
      <c r="M26" s="169">
        <v>29</v>
      </c>
    </row>
    <row r="27" spans="1:13" ht="19.5" customHeight="1">
      <c r="A27" s="165"/>
      <c r="B27" s="170" t="s">
        <v>59</v>
      </c>
      <c r="C27" s="170"/>
      <c r="D27" s="173"/>
      <c r="E27" s="184"/>
      <c r="F27" s="173"/>
      <c r="G27" s="173"/>
      <c r="H27" s="173"/>
      <c r="I27" s="173"/>
      <c r="J27" s="173"/>
      <c r="K27" s="173"/>
      <c r="L27" s="173"/>
      <c r="M27" s="174"/>
    </row>
    <row r="28" spans="1:13" ht="19.5" customHeight="1">
      <c r="A28" s="165"/>
      <c r="B28" s="166"/>
      <c r="C28" s="175" t="s">
        <v>60</v>
      </c>
      <c r="D28" s="176">
        <v>0.1</v>
      </c>
      <c r="E28" s="176">
        <v>0.1</v>
      </c>
      <c r="F28" s="176">
        <v>0.1</v>
      </c>
      <c r="G28" s="176">
        <v>0.1</v>
      </c>
      <c r="H28" s="176">
        <v>0.1</v>
      </c>
      <c r="I28" s="176">
        <v>0.1</v>
      </c>
      <c r="J28" s="176">
        <v>0.1</v>
      </c>
      <c r="K28" s="176">
        <v>0.1</v>
      </c>
      <c r="L28" s="176">
        <v>0.1</v>
      </c>
      <c r="M28" s="177">
        <v>0.1</v>
      </c>
    </row>
    <row r="29" spans="1:13" ht="19.5" customHeight="1">
      <c r="A29" s="165"/>
      <c r="B29" s="166"/>
      <c r="C29" s="175" t="s">
        <v>61</v>
      </c>
      <c r="D29" s="176">
        <f>+M20+D28</f>
        <v>2.3000000000000007</v>
      </c>
      <c r="E29" s="185">
        <f t="shared" ref="E29:M29" si="6">+D29+E28</f>
        <v>2.4000000000000008</v>
      </c>
      <c r="F29" s="176">
        <f t="shared" si="6"/>
        <v>2.5000000000000009</v>
      </c>
      <c r="G29" s="176">
        <f t="shared" si="6"/>
        <v>2.600000000000001</v>
      </c>
      <c r="H29" s="176">
        <f t="shared" si="6"/>
        <v>2.7000000000000011</v>
      </c>
      <c r="I29" s="176">
        <f t="shared" si="6"/>
        <v>2.8000000000000012</v>
      </c>
      <c r="J29" s="176">
        <f t="shared" si="6"/>
        <v>2.9000000000000012</v>
      </c>
      <c r="K29" s="176">
        <f t="shared" si="6"/>
        <v>3.0000000000000013</v>
      </c>
      <c r="L29" s="176">
        <f t="shared" si="6"/>
        <v>3.1000000000000014</v>
      </c>
      <c r="M29" s="177">
        <f t="shared" si="6"/>
        <v>3.2000000000000015</v>
      </c>
    </row>
    <row r="30" spans="1:13" ht="19.5" customHeight="1">
      <c r="A30" s="165"/>
      <c r="B30" s="166"/>
      <c r="C30" s="175" t="s">
        <v>62</v>
      </c>
      <c r="D30" s="176">
        <f t="shared" ref="D30:M30" si="7">+D29*229.666</f>
        <v>528.23180000000013</v>
      </c>
      <c r="E30" s="185">
        <f t="shared" si="7"/>
        <v>551.19840000000022</v>
      </c>
      <c r="F30" s="176">
        <f t="shared" si="7"/>
        <v>574.16500000000019</v>
      </c>
      <c r="G30" s="176">
        <f t="shared" si="7"/>
        <v>597.13160000000016</v>
      </c>
      <c r="H30" s="176">
        <f t="shared" si="7"/>
        <v>620.09820000000025</v>
      </c>
      <c r="I30" s="176">
        <f t="shared" si="7"/>
        <v>643.06480000000022</v>
      </c>
      <c r="J30" s="176">
        <f t="shared" si="7"/>
        <v>666.0314000000003</v>
      </c>
      <c r="K30" s="176">
        <f t="shared" si="7"/>
        <v>688.99800000000027</v>
      </c>
      <c r="L30" s="176">
        <f t="shared" si="7"/>
        <v>711.96460000000036</v>
      </c>
      <c r="M30" s="177">
        <f t="shared" si="7"/>
        <v>734.93120000000033</v>
      </c>
    </row>
    <row r="31" spans="1:13" ht="19.5" customHeight="1" thickBot="1">
      <c r="A31" s="178"/>
      <c r="B31" s="179"/>
      <c r="C31" s="180" t="s">
        <v>63</v>
      </c>
      <c r="D31" s="181">
        <f t="shared" ref="D31:M31" si="8">+D30*12</f>
        <v>6338.7816000000021</v>
      </c>
      <c r="E31" s="186">
        <f t="shared" si="8"/>
        <v>6614.3808000000026</v>
      </c>
      <c r="F31" s="181">
        <f t="shared" si="8"/>
        <v>6889.9800000000023</v>
      </c>
      <c r="G31" s="181">
        <f t="shared" si="8"/>
        <v>7165.5792000000019</v>
      </c>
      <c r="H31" s="181">
        <f t="shared" si="8"/>
        <v>7441.1784000000025</v>
      </c>
      <c r="I31" s="181">
        <f t="shared" si="8"/>
        <v>7716.7776000000031</v>
      </c>
      <c r="J31" s="181">
        <f t="shared" si="8"/>
        <v>7992.3768000000036</v>
      </c>
      <c r="K31" s="181">
        <f t="shared" si="8"/>
        <v>8267.9760000000024</v>
      </c>
      <c r="L31" s="181">
        <f t="shared" si="8"/>
        <v>8543.5752000000048</v>
      </c>
      <c r="M31" s="182">
        <f t="shared" si="8"/>
        <v>8819.1744000000035</v>
      </c>
    </row>
  </sheetData>
  <mergeCells count="6">
    <mergeCell ref="A2:M2"/>
    <mergeCell ref="D4:E4"/>
    <mergeCell ref="A4:C4"/>
    <mergeCell ref="F4:G4"/>
    <mergeCell ref="H4:I4"/>
    <mergeCell ref="J4:K4"/>
  </mergeCells>
  <phoneticPr fontId="0" type="noConversion"/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0.28515625" style="188" bestFit="1" customWidth="1"/>
    <col min="2" max="2" width="18" style="188" bestFit="1" customWidth="1"/>
    <col min="3" max="16" width="9.42578125" style="188" customWidth="1"/>
    <col min="17" max="16384" width="10.42578125" style="188"/>
  </cols>
  <sheetData>
    <row r="1" spans="1:18">
      <c r="C1" s="189"/>
      <c r="D1" s="189"/>
      <c r="E1" s="189"/>
      <c r="F1" s="189"/>
      <c r="G1" s="189"/>
      <c r="H1" s="189"/>
      <c r="I1" s="189"/>
      <c r="J1" s="190"/>
      <c r="K1" s="189"/>
      <c r="L1" s="189"/>
      <c r="M1" s="189"/>
      <c r="N1" s="189"/>
      <c r="O1" s="191"/>
      <c r="P1" s="192"/>
      <c r="Q1" s="189"/>
      <c r="R1" s="189"/>
    </row>
    <row r="2" spans="1:18" s="197" customFormat="1" ht="24.95" customHeight="1">
      <c r="A2" s="193" t="s">
        <v>33</v>
      </c>
      <c r="B2" s="193" t="s">
        <v>34</v>
      </c>
      <c r="C2"/>
      <c r="D2"/>
      <c r="E2"/>
      <c r="F2"/>
      <c r="G2" s="194"/>
      <c r="H2" s="194"/>
      <c r="I2" s="194"/>
      <c r="J2" s="194"/>
      <c r="K2" s="194"/>
      <c r="L2" s="194"/>
      <c r="M2" s="194"/>
      <c r="N2" s="194"/>
      <c r="O2" s="195"/>
      <c r="P2" s="196"/>
      <c r="Q2" s="195"/>
      <c r="R2" s="194"/>
    </row>
    <row r="3" spans="1:18" ht="38.25" customHeight="1">
      <c r="A3" s="198" t="s">
        <v>35</v>
      </c>
      <c r="B3" s="199">
        <v>30</v>
      </c>
      <c r="C3"/>
      <c r="D3"/>
      <c r="E3"/>
      <c r="F3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1"/>
      <c r="R3" s="189"/>
    </row>
    <row r="4" spans="1:18" ht="24.95" hidden="1" customHeight="1">
      <c r="A4" s="198" t="s">
        <v>36</v>
      </c>
      <c r="B4" s="199">
        <v>50</v>
      </c>
      <c r="C4"/>
      <c r="D4"/>
      <c r="E4"/>
      <c r="F4"/>
      <c r="G4"/>
      <c r="H4" s="200"/>
      <c r="I4" s="200"/>
      <c r="J4" s="200"/>
      <c r="K4" s="200"/>
      <c r="L4" s="200"/>
      <c r="M4" s="200"/>
      <c r="N4" s="200"/>
      <c r="O4" s="200"/>
      <c r="P4" s="200"/>
      <c r="Q4" s="201"/>
      <c r="R4" s="189"/>
    </row>
    <row r="5" spans="1:18" ht="24.95" customHeight="1">
      <c r="A5" s="198" t="s">
        <v>37</v>
      </c>
      <c r="B5" s="199">
        <v>50</v>
      </c>
      <c r="C5"/>
      <c r="D5"/>
      <c r="E5"/>
      <c r="F5"/>
      <c r="G5"/>
      <c r="H5" s="200"/>
      <c r="I5" s="200"/>
      <c r="J5" s="200"/>
      <c r="K5" s="200"/>
      <c r="L5" s="200"/>
      <c r="M5" s="200"/>
      <c r="N5" s="200"/>
      <c r="O5" s="200"/>
      <c r="P5" s="200"/>
      <c r="Q5" s="201"/>
      <c r="R5" s="189"/>
    </row>
    <row r="6" spans="1:18" ht="24.95" customHeight="1">
      <c r="A6" s="198" t="s">
        <v>38</v>
      </c>
      <c r="B6" s="199">
        <v>50</v>
      </c>
      <c r="C6"/>
      <c r="D6"/>
      <c r="E6"/>
      <c r="F6"/>
      <c r="G6" s="200"/>
      <c r="H6" s="200"/>
      <c r="I6" s="200"/>
      <c r="J6" s="200"/>
      <c r="K6" s="200"/>
      <c r="L6" s="200"/>
      <c r="M6" s="200"/>
      <c r="N6" s="200"/>
      <c r="O6" s="202"/>
      <c r="P6" s="200"/>
      <c r="Q6" s="201"/>
      <c r="R6" s="189"/>
    </row>
    <row r="7" spans="1:18" ht="24.95" customHeight="1">
      <c r="A7" s="198" t="s">
        <v>39</v>
      </c>
      <c r="B7" s="199">
        <v>50</v>
      </c>
      <c r="C7"/>
      <c r="D7"/>
      <c r="E7"/>
      <c r="F7"/>
      <c r="G7" s="200"/>
      <c r="H7" s="200"/>
      <c r="I7" s="200"/>
      <c r="J7" s="200"/>
      <c r="K7" s="200"/>
      <c r="L7" s="200"/>
      <c r="M7" s="200"/>
      <c r="N7" s="200"/>
      <c r="O7" s="202"/>
      <c r="P7" s="200"/>
      <c r="Q7" s="201"/>
      <c r="R7" s="189"/>
    </row>
    <row r="8" spans="1:18" ht="24.95" customHeight="1">
      <c r="A8" s="198" t="s">
        <v>40</v>
      </c>
      <c r="B8" s="199">
        <v>50</v>
      </c>
      <c r="C8"/>
      <c r="D8"/>
      <c r="E8"/>
      <c r="F8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1"/>
      <c r="R8" s="189"/>
    </row>
    <row r="9" spans="1:18" ht="24.95" customHeight="1">
      <c r="A9" s="198" t="s">
        <v>41</v>
      </c>
      <c r="B9" s="199">
        <v>100</v>
      </c>
      <c r="C9"/>
      <c r="D9"/>
      <c r="E9"/>
      <c r="F9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1"/>
      <c r="R9" s="189"/>
    </row>
    <row r="10" spans="1:18" ht="24.95" customHeight="1">
      <c r="A10" s="198" t="s">
        <v>42</v>
      </c>
      <c r="B10" s="199">
        <v>200</v>
      </c>
      <c r="C10"/>
      <c r="D10"/>
      <c r="E10"/>
      <c r="F1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189"/>
    </row>
    <row r="11" spans="1:18" ht="24.95" customHeight="1">
      <c r="A11" s="198" t="s">
        <v>43</v>
      </c>
      <c r="B11" s="199">
        <v>50</v>
      </c>
      <c r="C11"/>
      <c r="D11"/>
      <c r="E11"/>
      <c r="F11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1"/>
      <c r="R11" s="189"/>
    </row>
    <row r="12" spans="1:18" ht="24.95" customHeight="1">
      <c r="A12" s="198" t="s">
        <v>44</v>
      </c>
      <c r="B12" s="199">
        <v>75</v>
      </c>
      <c r="C12"/>
      <c r="D12"/>
      <c r="E12"/>
      <c r="F12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1"/>
      <c r="R12" s="189"/>
    </row>
    <row r="13" spans="1:18" ht="24.95" customHeight="1">
      <c r="A13" s="198" t="s">
        <v>45</v>
      </c>
      <c r="B13" s="199">
        <v>100</v>
      </c>
      <c r="C13"/>
      <c r="D13"/>
      <c r="E13"/>
      <c r="F13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1"/>
      <c r="R13" s="189"/>
    </row>
    <row r="14" spans="1:18" ht="24.95" customHeight="1">
      <c r="A14" s="198" t="s">
        <v>393</v>
      </c>
      <c r="B14" s="199">
        <v>50</v>
      </c>
      <c r="C14"/>
      <c r="D14"/>
      <c r="E14"/>
      <c r="F14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1"/>
      <c r="R14" s="189"/>
    </row>
    <row r="15" spans="1:18" ht="24.95" customHeight="1">
      <c r="A15" s="193"/>
      <c r="B15" s="199"/>
      <c r="C15"/>
      <c r="D15"/>
      <c r="E15"/>
      <c r="F15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1"/>
      <c r="R15" s="189"/>
    </row>
    <row r="16" spans="1:18" ht="24.95" customHeight="1">
      <c r="A16" s="193" t="s">
        <v>46</v>
      </c>
      <c r="B16" s="199">
        <v>350</v>
      </c>
      <c r="C16"/>
      <c r="D16"/>
      <c r="E16"/>
      <c r="F16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1"/>
      <c r="R16" s="189"/>
    </row>
    <row r="17" spans="1:18" ht="20.100000000000001" customHeight="1">
      <c r="A17" s="189"/>
      <c r="B17" s="200"/>
      <c r="C17"/>
      <c r="D17"/>
      <c r="E17"/>
      <c r="F17"/>
      <c r="G17" s="200"/>
      <c r="H17" s="200"/>
      <c r="I17" s="200"/>
      <c r="J17" s="200"/>
      <c r="K17" s="200"/>
      <c r="L17" s="200"/>
      <c r="M17" s="200"/>
      <c r="N17" s="200"/>
      <c r="O17" s="202"/>
      <c r="P17" s="200"/>
      <c r="Q17" s="201"/>
      <c r="R17" s="189"/>
    </row>
    <row r="18" spans="1:18" ht="20.100000000000001" customHeight="1">
      <c r="A18" s="863" t="s">
        <v>630</v>
      </c>
      <c r="B18" s="200"/>
      <c r="C18"/>
      <c r="D18"/>
      <c r="E18"/>
      <c r="F18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1"/>
      <c r="R18" s="189"/>
    </row>
    <row r="19" spans="1:18" ht="20.100000000000001" customHeight="1">
      <c r="A19" s="189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1"/>
      <c r="R19" s="189"/>
    </row>
    <row r="20" spans="1:18" ht="20.100000000000001" customHeight="1">
      <c r="A20" s="189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1"/>
      <c r="R20" s="189"/>
    </row>
    <row r="21" spans="1:18">
      <c r="A21" s="189"/>
      <c r="B21" s="200"/>
      <c r="C21" s="200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200"/>
      <c r="P21" s="200"/>
      <c r="Q21" s="201"/>
      <c r="R21" s="189"/>
    </row>
    <row r="22" spans="1:18">
      <c r="A22" s="189"/>
      <c r="B22" s="200"/>
      <c r="C22" s="200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</row>
    <row r="23" spans="1:18">
      <c r="A23" s="189"/>
      <c r="B23" s="189"/>
    </row>
  </sheetData>
  <phoneticPr fontId="33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 2009 - 2011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/>
  </sheetViews>
  <sheetFormatPr defaultRowHeight="18.75" customHeight="1"/>
  <cols>
    <col min="1" max="1" width="39.28515625" style="14" customWidth="1"/>
    <col min="2" max="2" width="11.28515625" style="106" hidden="1" customWidth="1"/>
    <col min="3" max="3" width="11.28515625" style="14" customWidth="1"/>
    <col min="4" max="6" width="11.28515625" style="106" customWidth="1"/>
    <col min="7" max="16384" width="9.140625" style="106"/>
  </cols>
  <sheetData>
    <row r="1" spans="1:6" ht="18.75" customHeight="1">
      <c r="A1" s="915" t="s">
        <v>709</v>
      </c>
      <c r="B1" s="336"/>
      <c r="C1" s="221"/>
      <c r="D1" s="221"/>
      <c r="E1" s="221"/>
      <c r="F1" s="221"/>
    </row>
    <row r="2" spans="1:6" ht="18.75" customHeight="1">
      <c r="A2" s="212"/>
      <c r="B2" s="310"/>
      <c r="C2" s="108"/>
      <c r="D2" s="108"/>
      <c r="E2" s="57"/>
      <c r="F2" s="57"/>
    </row>
    <row r="3" spans="1:6" s="220" customFormat="1" ht="18.75" customHeight="1">
      <c r="A3" s="219" t="s">
        <v>152</v>
      </c>
      <c r="B3" s="222">
        <v>2010</v>
      </c>
      <c r="C3" s="578">
        <v>2012</v>
      </c>
      <c r="D3" s="720">
        <v>2013</v>
      </c>
      <c r="E3" s="720">
        <v>2014</v>
      </c>
      <c r="F3" s="720">
        <v>2015</v>
      </c>
    </row>
    <row r="4" spans="1:6" s="220" customFormat="1" ht="18.75" customHeight="1">
      <c r="A4" s="34" t="s">
        <v>214</v>
      </c>
      <c r="B4" s="118">
        <v>10720</v>
      </c>
      <c r="C4" s="50">
        <v>11155</v>
      </c>
      <c r="D4" s="767">
        <v>10944.47</v>
      </c>
      <c r="E4" s="853">
        <f>2759.81+(2831*3)</f>
        <v>11252.81</v>
      </c>
      <c r="F4" s="853">
        <f>(2661.13*1)+(3201.95*3)</f>
        <v>12266.98</v>
      </c>
    </row>
    <row r="5" spans="1:6" s="220" customFormat="1" ht="18.75" customHeight="1">
      <c r="A5" s="34" t="s">
        <v>299</v>
      </c>
      <c r="B5" s="118">
        <v>5570</v>
      </c>
      <c r="C5" s="50">
        <v>5480</v>
      </c>
      <c r="D5" s="767">
        <v>6000</v>
      </c>
      <c r="E5" s="767">
        <f>5900*1.19</f>
        <v>7021</v>
      </c>
      <c r="F5" s="767">
        <f>5874*1.27</f>
        <v>7459.9800000000005</v>
      </c>
    </row>
    <row r="6" spans="1:6" ht="18.75" customHeight="1">
      <c r="A6" s="34" t="s">
        <v>48</v>
      </c>
      <c r="B6" s="44">
        <v>200</v>
      </c>
      <c r="C6" s="50">
        <v>200</v>
      </c>
      <c r="D6" s="68">
        <v>200</v>
      </c>
      <c r="E6" s="68">
        <v>200</v>
      </c>
      <c r="F6" s="68">
        <v>200</v>
      </c>
    </row>
    <row r="7" spans="1:6" ht="18.75" customHeight="1">
      <c r="A7" s="393"/>
      <c r="B7" s="44"/>
      <c r="C7" s="579"/>
      <c r="D7" s="68"/>
      <c r="E7" s="68"/>
      <c r="F7" s="68">
        <v>915.48</v>
      </c>
    </row>
    <row r="8" spans="1:6" ht="18.75" customHeight="1">
      <c r="A8" s="393" t="s">
        <v>442</v>
      </c>
      <c r="B8" s="44">
        <v>-2890</v>
      </c>
      <c r="C8" s="284"/>
      <c r="D8" s="68"/>
      <c r="E8" s="68"/>
      <c r="F8" s="68"/>
    </row>
    <row r="9" spans="1:6" ht="18.75" customHeight="1">
      <c r="A9" s="76"/>
      <c r="B9" s="44"/>
      <c r="C9" s="67"/>
      <c r="D9" s="68"/>
      <c r="E9" s="68"/>
      <c r="F9" s="68"/>
    </row>
    <row r="10" spans="1:6" ht="18.75" customHeight="1">
      <c r="A10" s="76"/>
      <c r="B10" s="44"/>
      <c r="C10" s="67"/>
      <c r="D10" s="68"/>
      <c r="E10" s="68"/>
      <c r="F10" s="68"/>
    </row>
    <row r="11" spans="1:6" ht="18.75" customHeight="1">
      <c r="A11" s="644" t="s">
        <v>569</v>
      </c>
      <c r="B11" s="133">
        <v>-62.93</v>
      </c>
      <c r="C11" s="645">
        <v>-2473.62</v>
      </c>
      <c r="D11" s="669"/>
      <c r="E11" s="669"/>
      <c r="F11" s="669"/>
    </row>
    <row r="12" spans="1:6" ht="18.75" customHeight="1">
      <c r="A12" s="642" t="s">
        <v>154</v>
      </c>
      <c r="B12" s="643">
        <f>SUM(B4:B11)</f>
        <v>13537.07</v>
      </c>
      <c r="C12" s="643">
        <f>SUM(C4:C11)</f>
        <v>14361.380000000001</v>
      </c>
      <c r="D12" s="643">
        <f>SUM(D4:D11)</f>
        <v>17144.47</v>
      </c>
      <c r="E12" s="719">
        <f>SUM(E4:E11)</f>
        <v>18473.809999999998</v>
      </c>
      <c r="F12" s="719">
        <f>SUM(F4:F11)</f>
        <v>20842.439999999999</v>
      </c>
    </row>
    <row r="13" spans="1:6" ht="16.5" customHeight="1">
      <c r="A13" s="107"/>
      <c r="B13" s="27"/>
      <c r="C13" s="107"/>
      <c r="D13" s="27"/>
      <c r="E13" s="27"/>
      <c r="F13" s="27"/>
    </row>
    <row r="14" spans="1:6" ht="16.5" customHeight="1">
      <c r="A14" s="17"/>
      <c r="B14" s="27"/>
      <c r="C14" s="107"/>
      <c r="D14" s="27"/>
      <c r="E14" s="27"/>
    </row>
    <row r="15" spans="1:6" ht="16.5" customHeight="1">
      <c r="A15" s="274" t="s">
        <v>642</v>
      </c>
      <c r="B15" s="152"/>
      <c r="C15" s="150"/>
      <c r="D15" s="152"/>
      <c r="E15" s="152"/>
      <c r="F15" s="738"/>
    </row>
    <row r="16" spans="1:6" ht="16.5" customHeight="1">
      <c r="A16" s="274"/>
      <c r="B16" s="152"/>
      <c r="C16" s="150"/>
      <c r="D16" s="152"/>
      <c r="E16" s="152"/>
      <c r="F16" s="738"/>
    </row>
    <row r="17" spans="1:6" ht="16.5" customHeight="1">
      <c r="A17" s="274" t="s">
        <v>641</v>
      </c>
      <c r="B17" s="152"/>
      <c r="C17" s="150"/>
      <c r="D17" s="152"/>
      <c r="E17" s="152"/>
      <c r="F17" s="738"/>
    </row>
    <row r="18" spans="1:6" ht="16.5" customHeight="1">
      <c r="A18" s="274" t="s">
        <v>643</v>
      </c>
      <c r="B18" s="152"/>
      <c r="C18" s="150"/>
      <c r="D18" s="152"/>
      <c r="E18" s="152"/>
      <c r="F18" s="738"/>
    </row>
    <row r="19" spans="1:6" ht="16.5" customHeight="1">
      <c r="A19" s="274" t="s">
        <v>644</v>
      </c>
      <c r="B19" s="152"/>
      <c r="C19" s="150"/>
      <c r="D19" s="152"/>
      <c r="E19" s="152"/>
      <c r="F19" s="738"/>
    </row>
    <row r="20" spans="1:6" ht="16.5" customHeight="1">
      <c r="A20" s="274"/>
      <c r="B20" s="152"/>
      <c r="C20" s="150"/>
      <c r="D20" s="152"/>
      <c r="E20" s="152"/>
      <c r="F20" s="738"/>
    </row>
    <row r="21" spans="1:6" ht="16.5" customHeight="1">
      <c r="A21" s="17"/>
      <c r="B21" s="27"/>
      <c r="C21" s="107"/>
      <c r="D21" s="27"/>
      <c r="E21" s="27"/>
    </row>
    <row r="22" spans="1:6" ht="16.5" customHeight="1">
      <c r="A22" s="17"/>
      <c r="B22" s="27"/>
      <c r="C22" s="107"/>
      <c r="D22" s="27"/>
      <c r="E22" s="27"/>
    </row>
    <row r="23" spans="1:6" ht="16.5" customHeight="1">
      <c r="A23" s="17"/>
      <c r="B23" s="27"/>
      <c r="C23" s="107"/>
      <c r="D23" s="27"/>
      <c r="E23" s="27"/>
    </row>
    <row r="24" spans="1:6" ht="16.5" customHeight="1">
      <c r="A24" s="737"/>
      <c r="B24" s="738"/>
      <c r="C24" s="739"/>
    </row>
    <row r="25" spans="1:6" ht="16.5" customHeight="1">
      <c r="A25" s="737"/>
      <c r="B25" s="738"/>
      <c r="C25" s="739"/>
    </row>
    <row r="26" spans="1:6" ht="16.5" customHeight="1">
      <c r="A26" s="234"/>
    </row>
    <row r="27" spans="1:6" ht="16.5" customHeight="1">
      <c r="A27" s="234"/>
    </row>
    <row r="28" spans="1:6" ht="16.5" customHeight="1">
      <c r="A28" s="17"/>
      <c r="B28" s="27"/>
      <c r="C28" s="107"/>
      <c r="D28" s="27"/>
      <c r="E28" s="27"/>
    </row>
    <row r="29" spans="1:6" ht="16.5" customHeight="1">
      <c r="A29" s="17"/>
      <c r="B29" s="27"/>
      <c r="C29" s="107"/>
      <c r="D29" s="27"/>
      <c r="E29" s="27"/>
    </row>
    <row r="30" spans="1:6" ht="18.75" customHeight="1">
      <c r="A30" s="216"/>
      <c r="B30" s="121"/>
      <c r="C30" s="337"/>
      <c r="D30" s="27"/>
      <c r="E30" s="27"/>
    </row>
    <row r="31" spans="1:6" ht="18.75" customHeight="1">
      <c r="A31" s="216"/>
      <c r="B31" s="27"/>
      <c r="C31" s="107"/>
      <c r="D31" s="27"/>
      <c r="E31" s="27"/>
    </row>
    <row r="32" spans="1:6" ht="18.75" customHeight="1">
      <c r="A32" s="216"/>
      <c r="B32" s="27"/>
      <c r="C32" s="107"/>
      <c r="D32" s="27"/>
      <c r="E32" s="27"/>
    </row>
    <row r="33" spans="1:5" ht="18.75" customHeight="1">
      <c r="A33" s="216"/>
      <c r="B33" s="27"/>
      <c r="C33" s="107"/>
      <c r="D33" s="27"/>
      <c r="E33" s="27"/>
    </row>
    <row r="34" spans="1:5" ht="18.75" customHeight="1">
      <c r="A34" s="218"/>
    </row>
    <row r="35" spans="1:5" ht="18.75" customHeight="1">
      <c r="A35" s="106"/>
      <c r="C35" s="106"/>
    </row>
    <row r="36" spans="1:5" ht="18.75" customHeight="1">
      <c r="A36" s="106"/>
      <c r="C36" s="106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F30"/>
  <sheetViews>
    <sheetView workbookViewId="0"/>
  </sheetViews>
  <sheetFormatPr defaultRowHeight="18.75" customHeight="1"/>
  <cols>
    <col min="1" max="1" width="38.28515625" style="107" customWidth="1"/>
    <col min="2" max="2" width="10.42578125" style="47" hidden="1" customWidth="1"/>
    <col min="3" max="6" width="10.42578125" style="27" customWidth="1"/>
    <col min="7" max="16384" width="9.140625" style="27"/>
  </cols>
  <sheetData>
    <row r="1" spans="1:6" s="48" customFormat="1" ht="18.75" customHeight="1">
      <c r="A1" s="251" t="s">
        <v>727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48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.75" customHeight="1">
      <c r="A4" s="111"/>
      <c r="B4" s="111"/>
      <c r="C4" s="111"/>
      <c r="D4" s="111"/>
      <c r="E4" s="111"/>
      <c r="F4" s="111"/>
    </row>
    <row r="5" spans="1:6" s="48" customFormat="1" ht="24.95" customHeight="1">
      <c r="A5" s="43"/>
      <c r="B5" s="229"/>
      <c r="C5" s="229"/>
      <c r="D5" s="229"/>
      <c r="E5" s="229"/>
      <c r="F5" s="229"/>
    </row>
    <row r="6" spans="1:6" ht="24.95" customHeight="1">
      <c r="A6" s="269" t="s">
        <v>72</v>
      </c>
      <c r="B6" s="59">
        <v>2000</v>
      </c>
      <c r="C6" s="59">
        <v>3000</v>
      </c>
      <c r="D6" s="59">
        <v>600</v>
      </c>
      <c r="E6" s="59">
        <v>500</v>
      </c>
      <c r="F6" s="59">
        <v>800</v>
      </c>
    </row>
    <row r="7" spans="1:6" ht="24.95" customHeight="1">
      <c r="A7" s="269" t="s">
        <v>73</v>
      </c>
      <c r="B7" s="59">
        <v>4600</v>
      </c>
      <c r="C7" s="59">
        <v>4500</v>
      </c>
      <c r="D7" s="59">
        <v>3500</v>
      </c>
      <c r="E7" s="59">
        <v>4000</v>
      </c>
      <c r="F7" s="59">
        <v>2500</v>
      </c>
    </row>
    <row r="8" spans="1:6" ht="24.95" customHeight="1">
      <c r="A8" s="53" t="s">
        <v>208</v>
      </c>
      <c r="B8" s="223">
        <v>600</v>
      </c>
      <c r="C8" s="223">
        <v>500</v>
      </c>
      <c r="D8" s="223">
        <v>500</v>
      </c>
      <c r="E8" s="223">
        <v>500</v>
      </c>
      <c r="F8" s="223">
        <v>500</v>
      </c>
    </row>
    <row r="9" spans="1:6" ht="24.95" customHeight="1">
      <c r="A9" s="269" t="s">
        <v>601</v>
      </c>
      <c r="B9" s="59">
        <v>800</v>
      </c>
      <c r="C9" s="59">
        <v>700</v>
      </c>
      <c r="D9" s="59"/>
      <c r="E9" s="59">
        <v>300</v>
      </c>
      <c r="F9" s="59">
        <v>400</v>
      </c>
    </row>
    <row r="10" spans="1:6" ht="24.95" customHeight="1">
      <c r="A10" s="269" t="s">
        <v>458</v>
      </c>
      <c r="B10" s="59"/>
      <c r="C10" s="59">
        <v>500</v>
      </c>
      <c r="D10" s="59">
        <v>600</v>
      </c>
      <c r="E10" s="59"/>
      <c r="F10" s="59"/>
    </row>
    <row r="11" spans="1:6" ht="24.95" customHeight="1">
      <c r="A11" s="356"/>
      <c r="B11" s="59"/>
      <c r="C11" s="59"/>
      <c r="D11" s="59"/>
      <c r="E11" s="59"/>
      <c r="F11" s="59"/>
    </row>
    <row r="12" spans="1:6" ht="24.95" customHeight="1">
      <c r="A12" s="356"/>
      <c r="B12" s="59"/>
      <c r="C12" s="59"/>
      <c r="D12" s="59"/>
      <c r="E12" s="59"/>
      <c r="F12" s="59"/>
    </row>
    <row r="13" spans="1:6" ht="24.95" customHeight="1" thickBot="1">
      <c r="A13" s="437" t="s">
        <v>569</v>
      </c>
      <c r="B13" s="282">
        <v>925</v>
      </c>
      <c r="C13" s="282">
        <v>-4000</v>
      </c>
      <c r="D13" s="282"/>
      <c r="E13" s="282"/>
      <c r="F13" s="282"/>
    </row>
    <row r="14" spans="1:6" ht="24.95" customHeight="1" thickTop="1">
      <c r="A14" s="351" t="s">
        <v>150</v>
      </c>
      <c r="B14" s="372">
        <f>SUM(B4:B13)</f>
        <v>8925</v>
      </c>
      <c r="C14" s="372">
        <f>SUM(C4:C13)</f>
        <v>5200</v>
      </c>
      <c r="D14" s="372">
        <f>SUM(D4:D13)</f>
        <v>5200</v>
      </c>
      <c r="E14" s="372">
        <f>SUM(E4:E13)</f>
        <v>5300</v>
      </c>
      <c r="F14" s="372">
        <f>SUM(F4:F13)</f>
        <v>4200</v>
      </c>
    </row>
    <row r="15" spans="1:6" ht="18.75" customHeight="1">
      <c r="B15" s="47" t="s">
        <v>151</v>
      </c>
    </row>
    <row r="16" spans="1:6" ht="18.75" customHeight="1">
      <c r="A16" s="17"/>
    </row>
    <row r="17" spans="1:1" ht="18.75" customHeight="1">
      <c r="A17" s="17"/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  <row r="21" spans="1:1" ht="18.75" customHeight="1">
      <c r="A21" s="17"/>
    </row>
    <row r="22" spans="1:1" ht="18.75" customHeight="1">
      <c r="A22" s="17"/>
    </row>
    <row r="23" spans="1:1" ht="18.75" customHeight="1">
      <c r="A23" s="17"/>
    </row>
    <row r="24" spans="1:1" ht="18.75" customHeight="1">
      <c r="A24" s="17"/>
    </row>
    <row r="25" spans="1:1" ht="18.75" customHeight="1">
      <c r="A25" s="17"/>
    </row>
    <row r="26" spans="1:1" ht="18.75" customHeight="1">
      <c r="A26" s="17"/>
    </row>
    <row r="27" spans="1:1" ht="18.75" customHeight="1">
      <c r="A27" s="17"/>
    </row>
    <row r="28" spans="1:1" ht="18.75" customHeight="1">
      <c r="A28" s="17"/>
    </row>
    <row r="29" spans="1:1" ht="18.75" customHeight="1">
      <c r="A29" s="17"/>
    </row>
    <row r="30" spans="1:1" ht="18.75" customHeight="1">
      <c r="A30" s="17"/>
    </row>
  </sheetData>
  <sortState ref="A11:E14">
    <sortCondition ref="A11:A14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G33"/>
  <sheetViews>
    <sheetView workbookViewId="0"/>
  </sheetViews>
  <sheetFormatPr defaultRowHeight="14.25"/>
  <cols>
    <col min="1" max="1" width="32.42578125" style="217" bestFit="1" customWidth="1"/>
    <col min="2" max="2" width="10.42578125" style="217" hidden="1" customWidth="1"/>
    <col min="3" max="3" width="10" style="217" bestFit="1" customWidth="1"/>
    <col min="4" max="6" width="10.42578125" style="217" customWidth="1"/>
    <col min="7" max="16384" width="9.140625" style="217"/>
  </cols>
  <sheetData>
    <row r="1" spans="1:6" ht="18" customHeight="1">
      <c r="A1" s="251" t="s">
        <v>728</v>
      </c>
      <c r="B1" s="237"/>
      <c r="C1" s="221"/>
      <c r="D1" s="221"/>
      <c r="E1" s="221"/>
      <c r="F1" s="221"/>
    </row>
    <row r="2" spans="1:6" ht="18" customHeight="1">
      <c r="A2" s="108"/>
      <c r="B2" s="51"/>
      <c r="C2" s="108"/>
      <c r="D2" s="108"/>
      <c r="E2" s="108"/>
      <c r="F2" s="108"/>
    </row>
    <row r="3" spans="1:6" ht="18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ht="18" customHeight="1">
      <c r="A4" s="111"/>
      <c r="B4" s="111"/>
      <c r="C4" s="111"/>
      <c r="D4" s="111"/>
      <c r="E4" s="111"/>
      <c r="F4" s="111"/>
    </row>
    <row r="5" spans="1:6" ht="24.95" customHeight="1">
      <c r="A5" s="57" t="s">
        <v>109</v>
      </c>
      <c r="B5" s="44">
        <v>400</v>
      </c>
      <c r="C5" s="44">
        <v>800</v>
      </c>
      <c r="D5" s="44">
        <v>700</v>
      </c>
      <c r="E5" s="44" t="s">
        <v>621</v>
      </c>
      <c r="F5" s="44" t="s">
        <v>621</v>
      </c>
    </row>
    <row r="6" spans="1:6" ht="24.95" customHeight="1">
      <c r="A6" s="57" t="s">
        <v>110</v>
      </c>
      <c r="B6" s="44">
        <v>800</v>
      </c>
      <c r="C6" s="44">
        <v>800</v>
      </c>
      <c r="D6" s="44">
        <v>800</v>
      </c>
      <c r="E6" s="44">
        <v>800</v>
      </c>
      <c r="F6" s="44">
        <v>800</v>
      </c>
    </row>
    <row r="7" spans="1:6" ht="24.95" customHeight="1">
      <c r="A7" s="57" t="s">
        <v>111</v>
      </c>
      <c r="B7" s="44">
        <v>700</v>
      </c>
      <c r="C7" s="44">
        <v>750</v>
      </c>
      <c r="D7" s="44">
        <v>2600</v>
      </c>
      <c r="E7" s="44">
        <f>1700+1825</f>
        <v>3525</v>
      </c>
      <c r="F7" s="44">
        <f>1700+1825</f>
        <v>3525</v>
      </c>
    </row>
    <row r="8" spans="1:6" ht="24.95" customHeight="1">
      <c r="A8" s="57" t="s">
        <v>112</v>
      </c>
      <c r="B8" s="68">
        <v>250</v>
      </c>
      <c r="C8" s="68">
        <v>900</v>
      </c>
      <c r="D8" s="44" t="s">
        <v>621</v>
      </c>
      <c r="E8" s="44" t="s">
        <v>621</v>
      </c>
      <c r="F8" s="44" t="s">
        <v>621</v>
      </c>
    </row>
    <row r="9" spans="1:6" ht="24.95" customHeight="1">
      <c r="A9" s="57" t="s">
        <v>620</v>
      </c>
      <c r="B9" s="68">
        <v>125</v>
      </c>
      <c r="C9" s="68">
        <v>650</v>
      </c>
      <c r="D9" s="44" t="s">
        <v>621</v>
      </c>
      <c r="E9" s="68">
        <f>610+460</f>
        <v>1070</v>
      </c>
      <c r="F9" s="68">
        <f>610+460</f>
        <v>1070</v>
      </c>
    </row>
    <row r="10" spans="1:6" ht="24.95" customHeight="1">
      <c r="A10" s="57" t="s">
        <v>749</v>
      </c>
      <c r="B10" s="68"/>
      <c r="C10" s="68"/>
      <c r="D10" s="44"/>
      <c r="E10" s="68"/>
      <c r="F10" s="228">
        <v>255</v>
      </c>
    </row>
    <row r="11" spans="1:6" ht="24.95" customHeight="1">
      <c r="A11" s="57" t="s">
        <v>505</v>
      </c>
      <c r="B11" s="68">
        <v>1000</v>
      </c>
      <c r="C11" s="68">
        <v>3400</v>
      </c>
      <c r="D11" s="68">
        <v>3400</v>
      </c>
      <c r="E11" s="68">
        <f>40*85</f>
        <v>3400</v>
      </c>
      <c r="F11" s="68">
        <f>40*85</f>
        <v>3400</v>
      </c>
    </row>
    <row r="12" spans="1:6" ht="24.95" customHeight="1">
      <c r="A12" s="57" t="s">
        <v>657</v>
      </c>
      <c r="B12" s="68">
        <v>500</v>
      </c>
      <c r="C12" s="68">
        <v>300</v>
      </c>
      <c r="D12" s="68">
        <v>2125</v>
      </c>
      <c r="E12" s="68">
        <f>25*85</f>
        <v>2125</v>
      </c>
      <c r="F12" s="68">
        <f>25*85</f>
        <v>2125</v>
      </c>
    </row>
    <row r="13" spans="1:6" ht="24.95" customHeight="1">
      <c r="A13" s="72" t="s">
        <v>356</v>
      </c>
      <c r="B13" s="117">
        <v>100</v>
      </c>
      <c r="C13" s="117">
        <v>100</v>
      </c>
      <c r="D13" s="117">
        <v>100</v>
      </c>
      <c r="E13" s="117">
        <v>150</v>
      </c>
      <c r="F13" s="117">
        <v>150</v>
      </c>
    </row>
    <row r="14" spans="1:6" ht="24.95" customHeight="1">
      <c r="A14" s="72" t="s">
        <v>355</v>
      </c>
      <c r="B14" s="117"/>
      <c r="C14" s="117"/>
      <c r="D14" s="117">
        <v>60</v>
      </c>
      <c r="E14" s="117"/>
      <c r="F14" s="117">
        <v>60</v>
      </c>
    </row>
    <row r="15" spans="1:6" ht="24.95" customHeight="1">
      <c r="A15" s="72" t="s">
        <v>354</v>
      </c>
      <c r="B15" s="117">
        <v>70</v>
      </c>
      <c r="C15" s="117">
        <v>70</v>
      </c>
      <c r="D15" s="117">
        <v>70</v>
      </c>
      <c r="E15" s="117">
        <v>70</v>
      </c>
      <c r="F15" s="117">
        <v>70</v>
      </c>
    </row>
    <row r="16" spans="1:6" ht="24.95" customHeight="1">
      <c r="A16" s="72" t="s">
        <v>353</v>
      </c>
      <c r="B16" s="117">
        <v>50</v>
      </c>
      <c r="C16" s="117">
        <v>50</v>
      </c>
      <c r="D16" s="117">
        <v>85</v>
      </c>
      <c r="E16" s="117">
        <v>85</v>
      </c>
      <c r="F16" s="117">
        <v>85</v>
      </c>
    </row>
    <row r="17" spans="1:7" ht="24.95" customHeight="1">
      <c r="A17" s="72" t="s">
        <v>542</v>
      </c>
      <c r="B17" s="117"/>
      <c r="C17" s="117"/>
      <c r="D17" s="117">
        <v>66</v>
      </c>
      <c r="E17" s="117">
        <f>70*2</f>
        <v>140</v>
      </c>
      <c r="F17" s="117">
        <f>70*2</f>
        <v>140</v>
      </c>
      <c r="G17" s="290" t="s">
        <v>604</v>
      </c>
    </row>
    <row r="18" spans="1:7" ht="24.95" customHeight="1">
      <c r="A18" s="72" t="s">
        <v>672</v>
      </c>
      <c r="B18" s="68"/>
      <c r="C18" s="68"/>
      <c r="D18" s="68">
        <v>1500</v>
      </c>
      <c r="E18" s="68">
        <v>1500</v>
      </c>
      <c r="F18" s="68">
        <v>1600</v>
      </c>
    </row>
    <row r="19" spans="1:7" ht="24.95" customHeight="1">
      <c r="A19" s="72" t="s">
        <v>614</v>
      </c>
      <c r="B19" s="68"/>
      <c r="C19" s="68"/>
      <c r="D19" s="68"/>
      <c r="E19" s="68">
        <v>275</v>
      </c>
      <c r="F19" s="68">
        <v>300</v>
      </c>
    </row>
    <row r="20" spans="1:7" ht="24.95" customHeight="1">
      <c r="A20" s="72"/>
      <c r="B20" s="68"/>
      <c r="C20" s="68"/>
      <c r="D20" s="68"/>
      <c r="E20" s="68"/>
      <c r="F20" s="68"/>
    </row>
    <row r="21" spans="1:7" ht="24.95" customHeight="1">
      <c r="A21" s="72"/>
      <c r="B21" s="68"/>
      <c r="C21" s="68"/>
      <c r="D21" s="68"/>
      <c r="E21" s="68"/>
      <c r="F21" s="68"/>
    </row>
    <row r="22" spans="1:7" ht="24.95" customHeight="1">
      <c r="A22" s="72"/>
      <c r="B22" s="68"/>
      <c r="C22" s="68"/>
      <c r="D22" s="68"/>
      <c r="E22" s="68"/>
      <c r="F22" s="68"/>
    </row>
    <row r="23" spans="1:7" ht="24.95" customHeight="1">
      <c r="A23" s="72" t="s">
        <v>569</v>
      </c>
      <c r="B23" s="669">
        <v>-1000</v>
      </c>
      <c r="C23" s="669">
        <v>800</v>
      </c>
      <c r="D23" s="669"/>
      <c r="E23" s="669"/>
      <c r="F23" s="669"/>
    </row>
    <row r="24" spans="1:7" ht="24.95" customHeight="1">
      <c r="A24" s="123" t="s">
        <v>203</v>
      </c>
      <c r="B24" s="545">
        <f>SUM(B4:B23)</f>
        <v>2995</v>
      </c>
      <c r="C24" s="747">
        <f>SUM(C4:C23)</f>
        <v>8620</v>
      </c>
      <c r="D24" s="747">
        <f>SUM(D4:D23)</f>
        <v>11506</v>
      </c>
      <c r="E24" s="747">
        <f>SUM(E4:E23)</f>
        <v>13140</v>
      </c>
      <c r="F24" s="747">
        <f>SUM(F4:F23)</f>
        <v>13580</v>
      </c>
    </row>
    <row r="25" spans="1:7" ht="18" customHeight="1">
      <c r="A25" s="121"/>
      <c r="B25" s="121"/>
      <c r="C25" s="121"/>
      <c r="D25" s="121"/>
    </row>
    <row r="26" spans="1:7" ht="18" customHeight="1">
      <c r="A26" s="121"/>
      <c r="B26" s="121"/>
      <c r="C26" s="121"/>
      <c r="D26" s="121"/>
    </row>
    <row r="27" spans="1:7" ht="18" customHeight="1">
      <c r="A27" s="121"/>
      <c r="B27" s="121"/>
      <c r="C27" s="121"/>
      <c r="D27" s="121"/>
    </row>
    <row r="28" spans="1:7" ht="18" customHeight="1">
      <c r="A28" s="121"/>
      <c r="B28" s="121"/>
      <c r="C28" s="121"/>
      <c r="D28" s="121"/>
    </row>
    <row r="29" spans="1:7" ht="18" customHeight="1">
      <c r="A29" s="121"/>
      <c r="B29" s="121"/>
      <c r="C29" s="121"/>
      <c r="D29" s="121"/>
    </row>
    <row r="30" spans="1:7" ht="18" customHeight="1">
      <c r="A30" s="121"/>
      <c r="B30" s="121"/>
      <c r="C30" s="121"/>
      <c r="D30" s="121"/>
    </row>
    <row r="31" spans="1:7" ht="16.5">
      <c r="A31" s="121"/>
      <c r="B31" s="121"/>
      <c r="C31" s="121"/>
      <c r="D31" s="121"/>
    </row>
    <row r="32" spans="1:7" ht="16.5">
      <c r="A32" s="121"/>
      <c r="B32" s="121"/>
      <c r="C32" s="121"/>
      <c r="D32" s="121"/>
    </row>
    <row r="33" spans="1:4" ht="16.5">
      <c r="A33" s="121"/>
      <c r="B33" s="121"/>
      <c r="C33" s="121"/>
      <c r="D33" s="121"/>
    </row>
  </sheetData>
  <sortState ref="A13:E16">
    <sortCondition ref="A13:A16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24"/>
  <sheetViews>
    <sheetView workbookViewId="0"/>
  </sheetViews>
  <sheetFormatPr defaultRowHeight="16.5"/>
  <cols>
    <col min="1" max="1" width="33" style="121" customWidth="1"/>
    <col min="2" max="2" width="11.7109375" style="121" hidden="1" customWidth="1"/>
    <col min="3" max="4" width="11.7109375" style="121" customWidth="1"/>
    <col min="5" max="6" width="10.28515625" style="121" customWidth="1"/>
    <col min="7" max="16384" width="9.140625" style="121"/>
  </cols>
  <sheetData>
    <row r="1" spans="1:6" ht="18" customHeight="1">
      <c r="A1" s="251" t="s">
        <v>14</v>
      </c>
      <c r="B1" s="237"/>
      <c r="C1" s="221"/>
      <c r="D1" s="221"/>
      <c r="E1" s="221"/>
      <c r="F1" s="221"/>
    </row>
    <row r="2" spans="1:6" ht="18" customHeight="1">
      <c r="A2" s="108"/>
      <c r="B2" s="51"/>
      <c r="C2" s="108"/>
      <c r="D2" s="108"/>
      <c r="E2" s="108"/>
      <c r="F2" s="108"/>
    </row>
    <row r="3" spans="1:6" ht="18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ht="18" customHeight="1">
      <c r="A4" s="111"/>
      <c r="B4" s="111"/>
      <c r="C4" s="111"/>
      <c r="D4" s="111"/>
      <c r="E4" s="111"/>
      <c r="F4" s="111"/>
    </row>
    <row r="5" spans="1:6" ht="24.75" customHeight="1">
      <c r="A5" s="125" t="s">
        <v>15</v>
      </c>
      <c r="B5" s="44"/>
      <c r="C5" s="44"/>
      <c r="D5" s="44"/>
      <c r="E5" s="44"/>
      <c r="F5" s="44"/>
    </row>
    <row r="6" spans="1:6" ht="18" customHeight="1">
      <c r="A6" s="57" t="s">
        <v>126</v>
      </c>
      <c r="B6" s="44">
        <v>200</v>
      </c>
      <c r="C6" s="44">
        <v>100</v>
      </c>
      <c r="D6" s="44">
        <v>100</v>
      </c>
      <c r="E6" s="44">
        <v>100</v>
      </c>
      <c r="F6" s="44">
        <v>200</v>
      </c>
    </row>
    <row r="7" spans="1:6" ht="18" customHeight="1">
      <c r="A7" s="57" t="s">
        <v>18</v>
      </c>
      <c r="B7" s="44">
        <v>300</v>
      </c>
      <c r="C7" s="44">
        <v>100</v>
      </c>
      <c r="D7" s="44">
        <v>100</v>
      </c>
      <c r="E7" s="44">
        <v>100</v>
      </c>
      <c r="F7" s="44">
        <v>0</v>
      </c>
    </row>
    <row r="8" spans="1:6" ht="18" customHeight="1">
      <c r="A8" s="57" t="s">
        <v>19</v>
      </c>
      <c r="B8" s="44">
        <v>200</v>
      </c>
      <c r="C8" s="44">
        <v>200</v>
      </c>
      <c r="D8" s="44">
        <v>100</v>
      </c>
      <c r="E8" s="44">
        <v>100</v>
      </c>
      <c r="F8" s="44">
        <v>100</v>
      </c>
    </row>
    <row r="9" spans="1:6" ht="18" customHeight="1">
      <c r="A9" s="57"/>
      <c r="B9" s="44">
        <v>1400</v>
      </c>
      <c r="C9" s="44"/>
      <c r="D9" s="44"/>
      <c r="E9" s="44"/>
      <c r="F9" s="44"/>
    </row>
    <row r="10" spans="1:6" ht="27.75" customHeight="1">
      <c r="A10" s="126" t="s">
        <v>20</v>
      </c>
      <c r="B10" s="44"/>
      <c r="C10" s="44"/>
      <c r="D10" s="44"/>
      <c r="E10" s="44"/>
      <c r="F10" s="44"/>
    </row>
    <row r="11" spans="1:6" ht="18" customHeight="1">
      <c r="A11" s="57" t="s">
        <v>21</v>
      </c>
      <c r="B11" s="68"/>
      <c r="C11" s="68"/>
      <c r="D11" s="68"/>
      <c r="E11" s="68"/>
      <c r="F11" s="68"/>
    </row>
    <row r="12" spans="1:6" ht="18" customHeight="1">
      <c r="A12" s="670" t="s">
        <v>506</v>
      </c>
      <c r="B12" s="68">
        <v>1000</v>
      </c>
      <c r="C12" s="68">
        <v>300</v>
      </c>
      <c r="D12" s="68"/>
      <c r="E12" s="68"/>
      <c r="F12" s="68"/>
    </row>
    <row r="13" spans="1:6" ht="18" customHeight="1">
      <c r="A13" s="670"/>
      <c r="B13" s="68"/>
      <c r="C13" s="68"/>
      <c r="D13" s="68"/>
      <c r="E13" s="68"/>
      <c r="F13" s="68"/>
    </row>
    <row r="14" spans="1:6" ht="18" customHeight="1">
      <c r="A14" s="57"/>
      <c r="B14" s="68"/>
      <c r="C14" s="68"/>
      <c r="D14" s="68"/>
      <c r="E14" s="68"/>
      <c r="F14" s="68"/>
    </row>
    <row r="15" spans="1:6" ht="18" customHeight="1">
      <c r="A15" s="57"/>
      <c r="B15" s="117"/>
      <c r="C15" s="117"/>
      <c r="D15" s="117"/>
      <c r="E15" s="117"/>
      <c r="F15" s="117"/>
    </row>
    <row r="16" spans="1:6" ht="18" customHeight="1">
      <c r="A16" s="57"/>
      <c r="B16" s="117"/>
      <c r="C16" s="117"/>
      <c r="D16" s="117"/>
      <c r="E16" s="117"/>
      <c r="F16" s="117"/>
    </row>
    <row r="17" spans="1:6" ht="18" customHeight="1" thickBot="1">
      <c r="A17" s="579" t="s">
        <v>569</v>
      </c>
      <c r="B17" s="117">
        <v>-3076.78</v>
      </c>
      <c r="C17" s="117">
        <v>-550</v>
      </c>
      <c r="D17" s="117"/>
      <c r="E17" s="117"/>
      <c r="F17" s="117"/>
    </row>
    <row r="18" spans="1:6" ht="18" customHeight="1" thickTop="1">
      <c r="A18" s="123" t="s">
        <v>203</v>
      </c>
      <c r="B18" s="122">
        <f>SUM(B4:B17)</f>
        <v>23.2199999999998</v>
      </c>
      <c r="C18" s="122">
        <f>SUM(C4:C17)</f>
        <v>150</v>
      </c>
      <c r="D18" s="122">
        <f>SUM(D4:D17)</f>
        <v>300</v>
      </c>
      <c r="E18" s="122">
        <f>SUM(E4:E17)</f>
        <v>300</v>
      </c>
      <c r="F18" s="122">
        <f>SUM(F4:F17)</f>
        <v>300</v>
      </c>
    </row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2.5703125" style="107" customWidth="1"/>
    <col min="2" max="2" width="10.7109375" style="28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51" t="s">
        <v>237</v>
      </c>
      <c r="B1" s="240"/>
      <c r="C1" s="240"/>
      <c r="D1" s="240"/>
      <c r="E1" s="240"/>
      <c r="F1" s="240"/>
    </row>
    <row r="2" spans="1:6" ht="18.75" customHeight="1">
      <c r="A2" s="108"/>
      <c r="B2" s="51"/>
      <c r="C2" s="51"/>
      <c r="D2" s="51"/>
      <c r="E2" s="51"/>
      <c r="F2" s="51"/>
    </row>
    <row r="3" spans="1:6" s="48" customFormat="1" ht="18.75" customHeight="1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134" customFormat="1" ht="18.75" customHeight="1">
      <c r="A4" s="111"/>
      <c r="B4" s="257"/>
      <c r="C4" s="257"/>
      <c r="D4" s="257"/>
      <c r="E4" s="257"/>
      <c r="F4" s="257"/>
    </row>
    <row r="5" spans="1:6" s="134" customFormat="1" ht="18.75" customHeight="1">
      <c r="A5" s="69" t="s">
        <v>157</v>
      </c>
      <c r="B5" s="235">
        <v>2000</v>
      </c>
      <c r="C5" s="235">
        <v>6000</v>
      </c>
      <c r="D5" s="235">
        <v>5000</v>
      </c>
      <c r="E5" s="235">
        <v>6000</v>
      </c>
      <c r="F5" s="235">
        <v>6000</v>
      </c>
    </row>
    <row r="6" spans="1:6" s="134" customFormat="1" ht="18.75" customHeight="1">
      <c r="A6" s="69" t="s">
        <v>758</v>
      </c>
      <c r="B6" s="235">
        <v>4000</v>
      </c>
      <c r="C6" s="235">
        <v>4600</v>
      </c>
      <c r="D6" s="235">
        <v>4600</v>
      </c>
      <c r="E6" s="265">
        <f>(199*2*2)+(646*2*3)</f>
        <v>4672</v>
      </c>
      <c r="F6" s="265">
        <f>(199*2*2)+(646*2*3)+2000</f>
        <v>6672</v>
      </c>
    </row>
    <row r="7" spans="1:6" s="134" customFormat="1" ht="18.75" customHeight="1">
      <c r="A7" s="69" t="s">
        <v>158</v>
      </c>
      <c r="B7" s="235">
        <v>800</v>
      </c>
      <c r="C7" s="235">
        <v>800</v>
      </c>
      <c r="D7" s="235">
        <v>850</v>
      </c>
      <c r="E7" s="265">
        <f>(95*4*2)+80</f>
        <v>840</v>
      </c>
      <c r="F7" s="265">
        <f>(175*4)+100</f>
        <v>800</v>
      </c>
    </row>
    <row r="8" spans="1:6" s="134" customFormat="1" ht="18.75" customHeight="1">
      <c r="A8" s="271" t="s">
        <v>259</v>
      </c>
      <c r="B8" s="373">
        <v>8000</v>
      </c>
      <c r="C8" s="373">
        <v>7860</v>
      </c>
      <c r="D8" s="373">
        <v>8100</v>
      </c>
      <c r="E8" s="373">
        <f>(660*12)</f>
        <v>7920</v>
      </c>
      <c r="F8" s="373">
        <v>0</v>
      </c>
    </row>
    <row r="9" spans="1:6" s="134" customFormat="1" ht="18.75" customHeight="1">
      <c r="A9" s="269" t="s">
        <v>47</v>
      </c>
      <c r="B9" s="235">
        <v>50</v>
      </c>
      <c r="C9" s="235">
        <v>100</v>
      </c>
      <c r="D9" s="235">
        <v>100</v>
      </c>
      <c r="E9" s="235">
        <v>250</v>
      </c>
      <c r="F9" s="235">
        <v>500</v>
      </c>
    </row>
    <row r="10" spans="1:6" s="134" customFormat="1" ht="18.75" customHeight="1">
      <c r="A10" s="69" t="s">
        <v>759</v>
      </c>
      <c r="B10" s="235">
        <v>750</v>
      </c>
      <c r="C10" s="235">
        <v>500</v>
      </c>
      <c r="D10" s="235">
        <v>500</v>
      </c>
      <c r="E10" s="235">
        <v>6000</v>
      </c>
      <c r="F10" s="235">
        <v>1200</v>
      </c>
    </row>
    <row r="11" spans="1:6" s="134" customFormat="1" ht="18.75" customHeight="1">
      <c r="A11" s="69" t="s">
        <v>159</v>
      </c>
      <c r="B11" s="235">
        <v>3000</v>
      </c>
      <c r="C11" s="235">
        <v>5000</v>
      </c>
      <c r="D11" s="235">
        <v>9000</v>
      </c>
      <c r="E11" s="235">
        <v>10000</v>
      </c>
      <c r="F11" s="235">
        <v>10000</v>
      </c>
    </row>
    <row r="12" spans="1:6" s="134" customFormat="1" ht="18.75" customHeight="1">
      <c r="A12" s="69" t="s">
        <v>156</v>
      </c>
      <c r="B12" s="235">
        <v>3000</v>
      </c>
      <c r="C12" s="235">
        <v>9000</v>
      </c>
      <c r="D12" s="235">
        <v>8000</v>
      </c>
      <c r="E12" s="235">
        <v>8000</v>
      </c>
      <c r="F12" s="235">
        <v>8000</v>
      </c>
    </row>
    <row r="13" spans="1:6" s="134" customFormat="1" ht="18.75" customHeight="1">
      <c r="A13" s="271" t="s">
        <v>305</v>
      </c>
      <c r="B13" s="374">
        <v>1200</v>
      </c>
      <c r="C13" s="374">
        <v>1760</v>
      </c>
      <c r="D13" s="374">
        <v>1800</v>
      </c>
      <c r="E13" s="374">
        <f>150*12</f>
        <v>1800</v>
      </c>
      <c r="F13" s="374">
        <v>0</v>
      </c>
    </row>
    <row r="14" spans="1:6" ht="18" customHeight="1">
      <c r="A14" s="272" t="s">
        <v>622</v>
      </c>
      <c r="B14" s="265">
        <v>800</v>
      </c>
      <c r="C14" s="265">
        <v>720</v>
      </c>
      <c r="D14" s="265">
        <v>720</v>
      </c>
      <c r="E14" s="265">
        <f>(30*2*12)</f>
        <v>720</v>
      </c>
      <c r="F14" s="265">
        <f>(25*2*12)</f>
        <v>600</v>
      </c>
    </row>
    <row r="15" spans="1:6" ht="18.75" customHeight="1">
      <c r="A15" s="271" t="s">
        <v>357</v>
      </c>
      <c r="B15" s="373">
        <v>625</v>
      </c>
      <c r="C15" s="373">
        <v>625</v>
      </c>
      <c r="D15" s="373">
        <v>625</v>
      </c>
      <c r="E15" s="373">
        <v>650</v>
      </c>
      <c r="F15" s="373">
        <v>625</v>
      </c>
    </row>
    <row r="16" spans="1:6" ht="18.75" customHeight="1">
      <c r="A16" s="291" t="s">
        <v>730</v>
      </c>
      <c r="B16" s="375"/>
      <c r="C16" s="375">
        <v>2000</v>
      </c>
      <c r="D16" s="375">
        <v>2000</v>
      </c>
      <c r="E16" s="375">
        <v>2000</v>
      </c>
      <c r="F16" s="375">
        <v>6000</v>
      </c>
    </row>
    <row r="17" spans="1:6" ht="18.75" customHeight="1">
      <c r="A17" s="291" t="s">
        <v>507</v>
      </c>
      <c r="B17" s="375"/>
      <c r="C17" s="375">
        <v>500</v>
      </c>
      <c r="D17" s="375">
        <v>1200</v>
      </c>
      <c r="E17" s="375">
        <v>1500</v>
      </c>
      <c r="F17" s="375">
        <v>1500</v>
      </c>
    </row>
    <row r="18" spans="1:6" ht="18.75" customHeight="1">
      <c r="A18" s="291" t="s">
        <v>508</v>
      </c>
      <c r="B18" s="375"/>
      <c r="C18" s="375">
        <v>2500</v>
      </c>
      <c r="D18" s="375">
        <v>0</v>
      </c>
      <c r="E18" s="375">
        <v>0</v>
      </c>
      <c r="F18" s="375">
        <v>0</v>
      </c>
    </row>
    <row r="19" spans="1:6" ht="18.75" customHeight="1">
      <c r="A19" s="291" t="s">
        <v>509</v>
      </c>
      <c r="B19" s="375"/>
      <c r="C19" s="375">
        <v>15000</v>
      </c>
      <c r="D19" s="375">
        <v>0</v>
      </c>
      <c r="E19" s="375">
        <v>0</v>
      </c>
      <c r="F19" s="375">
        <v>0</v>
      </c>
    </row>
    <row r="20" spans="1:6" ht="18.75" customHeight="1">
      <c r="A20" s="291" t="s">
        <v>762</v>
      </c>
      <c r="B20" s="671"/>
      <c r="C20" s="373">
        <v>0</v>
      </c>
      <c r="D20" s="373">
        <v>0</v>
      </c>
      <c r="E20" s="373">
        <f>300*18</f>
        <v>5400</v>
      </c>
      <c r="F20" s="373">
        <f>1200*8</f>
        <v>9600</v>
      </c>
    </row>
    <row r="21" spans="1:6" ht="18.75" customHeight="1">
      <c r="A21" s="291" t="s">
        <v>760</v>
      </c>
      <c r="B21" s="671"/>
      <c r="C21" s="373">
        <v>0</v>
      </c>
      <c r="D21" s="373">
        <v>0</v>
      </c>
      <c r="E21" s="373">
        <v>0</v>
      </c>
      <c r="F21" s="373">
        <f>550+500</f>
        <v>1050</v>
      </c>
    </row>
    <row r="22" spans="1:6" ht="18.75" customHeight="1">
      <c r="A22" s="291" t="s">
        <v>673</v>
      </c>
      <c r="B22" s="671"/>
      <c r="C22" s="373">
        <v>0</v>
      </c>
      <c r="D22" s="373">
        <v>0</v>
      </c>
      <c r="E22" s="373">
        <v>0</v>
      </c>
      <c r="F22" s="373">
        <f>500+564</f>
        <v>1064</v>
      </c>
    </row>
    <row r="23" spans="1:6" ht="18.75" customHeight="1">
      <c r="A23" s="291" t="s">
        <v>729</v>
      </c>
      <c r="B23" s="671"/>
      <c r="C23" s="373"/>
      <c r="D23" s="373"/>
      <c r="E23" s="373"/>
      <c r="F23" s="373">
        <v>12000</v>
      </c>
    </row>
    <row r="24" spans="1:6" ht="18.75" customHeight="1">
      <c r="A24" s="291" t="s">
        <v>761</v>
      </c>
      <c r="B24" s="671"/>
      <c r="C24" s="373"/>
      <c r="D24" s="373"/>
      <c r="E24" s="373"/>
      <c r="F24" s="373">
        <f>300*4</f>
        <v>1200</v>
      </c>
    </row>
    <row r="25" spans="1:6" ht="18.75" customHeight="1" thickBot="1">
      <c r="A25" s="607" t="s">
        <v>569</v>
      </c>
      <c r="B25" s="672">
        <v>4500</v>
      </c>
      <c r="C25" s="673"/>
      <c r="D25" s="673"/>
      <c r="E25" s="673"/>
      <c r="F25" s="673"/>
    </row>
    <row r="26" spans="1:6" ht="18.75" customHeight="1" thickTop="1">
      <c r="A26" s="113" t="s">
        <v>150</v>
      </c>
      <c r="B26" s="376">
        <f t="shared" ref="B26:D26" si="0">SUM(B4:B25)</f>
        <v>28725</v>
      </c>
      <c r="C26" s="376">
        <f t="shared" si="0"/>
        <v>56965</v>
      </c>
      <c r="D26" s="376">
        <f t="shared" si="0"/>
        <v>42495</v>
      </c>
      <c r="E26" s="376">
        <f>SUM(E4:E25)</f>
        <v>55752</v>
      </c>
      <c r="F26" s="376">
        <f>SUM(F4:F25)</f>
        <v>66811</v>
      </c>
    </row>
    <row r="27" spans="1:6" s="48" customFormat="1" ht="18.75" customHeight="1">
      <c r="A27" s="121"/>
      <c r="B27" s="121"/>
    </row>
    <row r="28" spans="1:6" ht="18.75" customHeight="1">
      <c r="A28" s="121"/>
      <c r="B28" s="121"/>
    </row>
    <row r="29" spans="1:6" ht="18.75" customHeight="1">
      <c r="A29" s="121"/>
      <c r="B29" s="121"/>
    </row>
    <row r="30" spans="1:6" ht="18.75" customHeight="1">
      <c r="A30" s="121"/>
      <c r="B30" s="121"/>
    </row>
    <row r="31" spans="1:6" ht="18.75" customHeight="1">
      <c r="A31" s="121"/>
      <c r="B31" s="121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3.85546875" style="14" customWidth="1"/>
    <col min="2" max="2" width="11" style="15" hidden="1" customWidth="1"/>
    <col min="3" max="6" width="11" style="106" customWidth="1"/>
    <col min="7" max="16384" width="9.140625" style="106"/>
  </cols>
  <sheetData>
    <row r="1" spans="1:6" s="213" customFormat="1" ht="18.75" customHeight="1">
      <c r="A1" s="251" t="s">
        <v>731</v>
      </c>
      <c r="B1" s="237"/>
      <c r="C1" s="237"/>
      <c r="D1" s="237"/>
      <c r="E1" s="237"/>
      <c r="F1" s="237"/>
    </row>
    <row r="2" spans="1:6" ht="18.75" customHeight="1">
      <c r="A2" s="108"/>
      <c r="B2" s="51"/>
      <c r="C2" s="51"/>
      <c r="D2" s="51"/>
      <c r="E2" s="51"/>
      <c r="F2" s="51"/>
    </row>
    <row r="3" spans="1:6" s="213" customFormat="1" ht="18.75" customHeight="1">
      <c r="A3" s="786" t="s">
        <v>152</v>
      </c>
      <c r="B3" s="787">
        <v>2010</v>
      </c>
      <c r="C3" s="787">
        <v>2012</v>
      </c>
      <c r="D3" s="787">
        <v>2013</v>
      </c>
      <c r="E3" s="787">
        <v>2014</v>
      </c>
      <c r="F3" s="787">
        <v>2015</v>
      </c>
    </row>
    <row r="4" spans="1:6" s="213" customFormat="1" ht="18.75" customHeight="1">
      <c r="A4" s="784"/>
      <c r="B4" s="785"/>
      <c r="C4" s="785"/>
      <c r="D4" s="785"/>
      <c r="E4" s="785"/>
      <c r="F4" s="785"/>
    </row>
    <row r="5" spans="1:6" s="213" customFormat="1" ht="18.75" customHeight="1">
      <c r="A5" s="69" t="s">
        <v>658</v>
      </c>
      <c r="B5" s="51">
        <v>100</v>
      </c>
      <c r="C5" s="51">
        <v>100</v>
      </c>
      <c r="D5" s="51">
        <v>200</v>
      </c>
      <c r="E5" s="51">
        <v>200</v>
      </c>
      <c r="F5" s="51">
        <v>200</v>
      </c>
    </row>
    <row r="6" spans="1:6" s="213" customFormat="1" ht="18.75" customHeight="1">
      <c r="A6" s="69" t="s">
        <v>211</v>
      </c>
      <c r="B6" s="51">
        <v>1000</v>
      </c>
      <c r="C6" s="51">
        <v>600</v>
      </c>
      <c r="D6" s="51">
        <v>600</v>
      </c>
      <c r="E6" s="51">
        <v>600</v>
      </c>
      <c r="F6" s="51">
        <v>600</v>
      </c>
    </row>
    <row r="7" spans="1:6" s="213" customFormat="1" ht="18.75" customHeight="1">
      <c r="A7" s="69" t="s">
        <v>213</v>
      </c>
      <c r="B7" s="51">
        <v>300</v>
      </c>
      <c r="C7" s="51">
        <v>300</v>
      </c>
      <c r="D7" s="51">
        <v>500</v>
      </c>
      <c r="E7" s="51">
        <v>600</v>
      </c>
      <c r="F7" s="51">
        <v>600</v>
      </c>
    </row>
    <row r="8" spans="1:6" s="213" customFormat="1" ht="18.75" customHeight="1">
      <c r="A8" s="120" t="s">
        <v>55</v>
      </c>
      <c r="B8" s="51">
        <v>6900</v>
      </c>
      <c r="C8" s="51">
        <v>2356</v>
      </c>
      <c r="D8" s="51">
        <v>2400</v>
      </c>
      <c r="E8" s="51">
        <f>2400+600+600</f>
        <v>3600</v>
      </c>
      <c r="F8" s="51">
        <f>(176.9*2*12)</f>
        <v>4245.6000000000004</v>
      </c>
    </row>
    <row r="9" spans="1:6" s="213" customFormat="1" ht="18.75" customHeight="1">
      <c r="A9" s="69" t="s">
        <v>210</v>
      </c>
      <c r="B9" s="51">
        <v>600</v>
      </c>
      <c r="C9" s="51">
        <v>500</v>
      </c>
      <c r="D9" s="51">
        <v>500</v>
      </c>
      <c r="E9" s="51">
        <v>600</v>
      </c>
      <c r="F9" s="51">
        <v>600</v>
      </c>
    </row>
    <row r="10" spans="1:6" ht="18.75" customHeight="1">
      <c r="A10" s="69" t="s">
        <v>209</v>
      </c>
      <c r="B10" s="51">
        <v>100</v>
      </c>
      <c r="C10" s="51">
        <v>100</v>
      </c>
      <c r="D10" s="51">
        <v>100</v>
      </c>
      <c r="E10" s="51">
        <v>100</v>
      </c>
      <c r="F10" s="51">
        <v>100</v>
      </c>
    </row>
    <row r="11" spans="1:6" ht="18.75" customHeight="1">
      <c r="A11" s="69" t="s">
        <v>659</v>
      </c>
      <c r="B11" s="51">
        <v>2200</v>
      </c>
      <c r="C11" s="51">
        <v>1600</v>
      </c>
      <c r="D11" s="51">
        <v>1500</v>
      </c>
      <c r="E11" s="51">
        <v>1600</v>
      </c>
      <c r="F11" s="51">
        <v>1600</v>
      </c>
    </row>
    <row r="12" spans="1:6" ht="18.75" customHeight="1">
      <c r="A12" s="69" t="s">
        <v>212</v>
      </c>
      <c r="B12" s="51">
        <v>500</v>
      </c>
      <c r="C12" s="51">
        <v>150</v>
      </c>
      <c r="D12" s="51">
        <v>300</v>
      </c>
      <c r="E12" s="51">
        <v>250</v>
      </c>
      <c r="F12" s="51">
        <v>200</v>
      </c>
    </row>
    <row r="13" spans="1:6" ht="18.75" customHeight="1">
      <c r="A13" s="69" t="s">
        <v>543</v>
      </c>
      <c r="B13" s="51"/>
      <c r="C13" s="51"/>
      <c r="D13" s="51">
        <v>750</v>
      </c>
      <c r="E13" s="51">
        <v>700</v>
      </c>
      <c r="F13" s="51">
        <v>700</v>
      </c>
    </row>
    <row r="14" spans="1:6" ht="18.75" customHeight="1">
      <c r="A14" s="69" t="s">
        <v>544</v>
      </c>
      <c r="B14" s="51"/>
      <c r="C14" s="51"/>
      <c r="D14" s="51">
        <v>750</v>
      </c>
      <c r="E14" s="51">
        <f>750+800</f>
        <v>1550</v>
      </c>
      <c r="F14" s="51">
        <v>1600</v>
      </c>
    </row>
    <row r="15" spans="1:6" ht="18.75" customHeight="1">
      <c r="A15" s="58"/>
      <c r="B15" s="51"/>
      <c r="C15" s="51"/>
      <c r="D15" s="51"/>
      <c r="E15" s="51"/>
      <c r="F15" s="51"/>
    </row>
    <row r="16" spans="1:6" ht="18.75" customHeight="1">
      <c r="A16" s="58"/>
      <c r="B16" s="51"/>
      <c r="C16" s="51"/>
      <c r="D16" s="51"/>
      <c r="E16" s="51"/>
      <c r="F16" s="51"/>
    </row>
    <row r="17" spans="1:6" ht="18.75" customHeight="1">
      <c r="A17" s="58"/>
      <c r="B17" s="112"/>
      <c r="C17" s="112"/>
      <c r="D17" s="112"/>
      <c r="E17" s="112"/>
      <c r="F17" s="112"/>
    </row>
    <row r="18" spans="1:6" ht="18.75" customHeight="1">
      <c r="A18" s="58"/>
      <c r="B18" s="112"/>
      <c r="C18" s="112"/>
      <c r="D18" s="112"/>
      <c r="E18" s="112"/>
      <c r="F18" s="112"/>
    </row>
    <row r="19" spans="1:6" ht="18.75" customHeight="1" thickBot="1">
      <c r="A19" s="58" t="s">
        <v>569</v>
      </c>
      <c r="B19" s="112">
        <v>-3400</v>
      </c>
      <c r="C19" s="112">
        <v>750</v>
      </c>
      <c r="D19" s="112"/>
      <c r="E19" s="112"/>
      <c r="F19" s="112"/>
    </row>
    <row r="20" spans="1:6" ht="18.75" customHeight="1" thickTop="1">
      <c r="A20" s="113" t="s">
        <v>150</v>
      </c>
      <c r="B20" s="99">
        <f>SUM(B4:B19)</f>
        <v>8300</v>
      </c>
      <c r="C20" s="99">
        <f>SUM(C4:C19)</f>
        <v>6456</v>
      </c>
      <c r="D20" s="99">
        <f>SUM(D4:D19)</f>
        <v>7600</v>
      </c>
      <c r="E20" s="99">
        <f>SUM(E4:E19)</f>
        <v>9800</v>
      </c>
      <c r="F20" s="99">
        <f>SUM(F4:F19)</f>
        <v>10445.6</v>
      </c>
    </row>
    <row r="21" spans="1:6" ht="18.75" customHeight="1">
      <c r="A21" s="107"/>
      <c r="B21" s="47"/>
      <c r="C21" s="27"/>
    </row>
    <row r="22" spans="1:6" ht="18.75" customHeight="1">
      <c r="A22" s="107"/>
      <c r="B22" s="47"/>
      <c r="C22" s="27"/>
    </row>
  </sheetData>
  <phoneticPr fontId="19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140625" style="107" customWidth="1"/>
    <col min="2" max="2" width="10.7109375" style="47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51" t="s">
        <v>732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48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.75" customHeight="1">
      <c r="A4" s="127"/>
      <c r="B4" s="127"/>
      <c r="C4" s="127"/>
      <c r="D4" s="127"/>
      <c r="E4" s="127"/>
      <c r="F4" s="127"/>
    </row>
    <row r="5" spans="1:6" s="134" customFormat="1" ht="24.95" customHeight="1">
      <c r="A5" s="69" t="s">
        <v>660</v>
      </c>
      <c r="B5" s="223">
        <v>4500</v>
      </c>
      <c r="C5" s="223">
        <v>3200</v>
      </c>
      <c r="D5" s="223">
        <v>3000</v>
      </c>
      <c r="E5" s="223">
        <v>3200</v>
      </c>
      <c r="F5" s="223">
        <v>2600</v>
      </c>
    </row>
    <row r="6" spans="1:6" s="134" customFormat="1" ht="24.95" customHeight="1">
      <c r="A6" s="69" t="s">
        <v>661</v>
      </c>
      <c r="B6" s="223">
        <v>200</v>
      </c>
      <c r="C6" s="223">
        <v>200</v>
      </c>
      <c r="D6" s="223">
        <v>200</v>
      </c>
      <c r="E6" s="223">
        <v>300</v>
      </c>
      <c r="F6" s="223">
        <v>300</v>
      </c>
    </row>
    <row r="7" spans="1:6" s="273" customFormat="1" ht="24.95" customHeight="1">
      <c r="A7" s="130" t="s">
        <v>251</v>
      </c>
      <c r="B7" s="223">
        <v>3500</v>
      </c>
      <c r="C7" s="223">
        <v>3200</v>
      </c>
      <c r="D7" s="223">
        <v>5000</v>
      </c>
      <c r="E7" s="223">
        <v>5000</v>
      </c>
      <c r="F7" s="223">
        <v>3500</v>
      </c>
    </row>
    <row r="8" spans="1:6" ht="24.95" customHeight="1">
      <c r="A8" s="69" t="s">
        <v>6</v>
      </c>
      <c r="B8" s="59">
        <v>600</v>
      </c>
      <c r="C8" s="59">
        <v>500</v>
      </c>
      <c r="D8" s="59">
        <v>500</v>
      </c>
      <c r="E8" s="59">
        <v>600</v>
      </c>
      <c r="F8" s="59">
        <v>600</v>
      </c>
    </row>
    <row r="9" spans="1:6" ht="24.95" customHeight="1">
      <c r="A9" s="77" t="s">
        <v>663</v>
      </c>
      <c r="B9" s="59">
        <v>140</v>
      </c>
      <c r="C9" s="59">
        <v>300</v>
      </c>
      <c r="D9" s="59">
        <v>500</v>
      </c>
      <c r="E9" s="59">
        <v>500</v>
      </c>
      <c r="F9" s="59">
        <v>400</v>
      </c>
    </row>
    <row r="10" spans="1:6" ht="24.95" customHeight="1">
      <c r="A10" s="69" t="s">
        <v>358</v>
      </c>
      <c r="B10" s="59">
        <v>450</v>
      </c>
      <c r="C10" s="59">
        <v>200</v>
      </c>
      <c r="D10" s="59">
        <v>500</v>
      </c>
      <c r="E10" s="59">
        <v>600</v>
      </c>
      <c r="F10" s="59">
        <v>600</v>
      </c>
    </row>
    <row r="11" spans="1:6" ht="24.95" customHeight="1">
      <c r="A11" s="69" t="s">
        <v>416</v>
      </c>
      <c r="B11" s="59">
        <v>200</v>
      </c>
      <c r="C11" s="59">
        <v>200</v>
      </c>
      <c r="D11" s="59">
        <v>300</v>
      </c>
      <c r="E11" s="59">
        <v>350</v>
      </c>
      <c r="F11" s="59">
        <v>350</v>
      </c>
    </row>
    <row r="12" spans="1:6" ht="24.95" customHeight="1">
      <c r="A12" s="69" t="s">
        <v>662</v>
      </c>
      <c r="B12" s="59"/>
      <c r="C12" s="59"/>
      <c r="D12" s="59"/>
      <c r="E12" s="59"/>
      <c r="F12" s="63">
        <v>2000</v>
      </c>
    </row>
    <row r="13" spans="1:6" ht="24.95" customHeight="1">
      <c r="A13" s="69"/>
      <c r="B13" s="59"/>
      <c r="C13" s="59"/>
      <c r="D13" s="59"/>
      <c r="E13" s="59"/>
      <c r="F13" s="59"/>
    </row>
    <row r="14" spans="1:6" ht="24.95" customHeight="1">
      <c r="A14" s="691"/>
      <c r="B14" s="59"/>
      <c r="C14" s="59"/>
      <c r="D14" s="59"/>
      <c r="E14" s="59"/>
      <c r="F14" s="59"/>
    </row>
    <row r="15" spans="1:6" ht="24.95" customHeight="1" thickBot="1">
      <c r="A15" s="683" t="s">
        <v>569</v>
      </c>
      <c r="B15" s="332">
        <v>-2000</v>
      </c>
      <c r="C15" s="332">
        <v>2000</v>
      </c>
      <c r="D15" s="332"/>
      <c r="E15" s="332"/>
      <c r="F15" s="332"/>
    </row>
    <row r="16" spans="1:6" s="48" customFormat="1" ht="24.95" customHeight="1" thickTop="1">
      <c r="A16" s="113" t="s">
        <v>150</v>
      </c>
      <c r="B16" s="236">
        <f>SUM(B4:B15)</f>
        <v>7590</v>
      </c>
      <c r="C16" s="236">
        <f>SUM(C4:C15)</f>
        <v>9800</v>
      </c>
      <c r="D16" s="236">
        <f>SUM(D4:D15)</f>
        <v>10000</v>
      </c>
      <c r="E16" s="236">
        <f>SUM(E4:E15)</f>
        <v>10550</v>
      </c>
      <c r="F16" s="236">
        <f>SUM(F4:F15)</f>
        <v>10350</v>
      </c>
    </row>
    <row r="18" spans="1:1" ht="18.75" customHeight="1">
      <c r="A18" s="150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18"/>
  <sheetViews>
    <sheetView workbookViewId="0"/>
  </sheetViews>
  <sheetFormatPr defaultRowHeight="18.75" customHeight="1"/>
  <cols>
    <col min="1" max="1" width="35.28515625" style="107" customWidth="1"/>
    <col min="2" max="2" width="10.7109375" style="47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51" t="s">
        <v>733</v>
      </c>
      <c r="B1" s="237"/>
      <c r="C1" s="237"/>
      <c r="D1" s="237"/>
      <c r="E1" s="237"/>
      <c r="F1" s="237"/>
    </row>
    <row r="2" spans="1:6" ht="18.75" customHeight="1">
      <c r="A2" s="108"/>
      <c r="B2" s="51"/>
      <c r="C2" s="51"/>
      <c r="D2" s="51"/>
      <c r="E2" s="51"/>
      <c r="F2" s="51"/>
    </row>
    <row r="3" spans="1:6" s="48" customFormat="1" ht="18.75" customHeight="1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134" customFormat="1" ht="18.75" customHeight="1">
      <c r="A4" s="111"/>
      <c r="B4" s="257"/>
      <c r="C4" s="257"/>
      <c r="D4" s="257"/>
      <c r="E4" s="257"/>
      <c r="F4" s="257"/>
    </row>
    <row r="5" spans="1:6" s="48" customFormat="1" ht="18.75" customHeight="1">
      <c r="A5" s="69"/>
      <c r="B5" s="36"/>
      <c r="C5" s="36"/>
      <c r="D5" s="36"/>
      <c r="E5" s="36"/>
      <c r="F5" s="36"/>
    </row>
    <row r="6" spans="1:6" s="48" customFormat="1" ht="18.75" customHeight="1">
      <c r="A6" s="269" t="s">
        <v>541</v>
      </c>
      <c r="B6" s="329">
        <v>210</v>
      </c>
      <c r="C6" s="329">
        <v>210</v>
      </c>
      <c r="D6" s="329">
        <v>320</v>
      </c>
      <c r="E6" s="373">
        <v>320</v>
      </c>
      <c r="F6" s="373">
        <v>300</v>
      </c>
    </row>
    <row r="7" spans="1:6" s="48" customFormat="1" ht="18.75" customHeight="1">
      <c r="A7" s="269" t="s">
        <v>207</v>
      </c>
      <c r="B7" s="329">
        <v>70</v>
      </c>
      <c r="C7" s="329">
        <v>45</v>
      </c>
      <c r="D7" s="329">
        <v>45</v>
      </c>
      <c r="E7" s="373">
        <v>45</v>
      </c>
      <c r="F7" s="373">
        <v>45</v>
      </c>
    </row>
    <row r="8" spans="1:6" s="48" customFormat="1" ht="18.75" customHeight="1">
      <c r="A8" s="269" t="s">
        <v>286</v>
      </c>
      <c r="B8" s="329">
        <v>1000</v>
      </c>
      <c r="C8" s="329">
        <v>1000</v>
      </c>
      <c r="D8" s="329">
        <v>1000</v>
      </c>
      <c r="E8" s="373">
        <v>1500</v>
      </c>
      <c r="F8" s="373">
        <f>500+750+1500</f>
        <v>2750</v>
      </c>
    </row>
    <row r="9" spans="1:6" s="48" customFormat="1" ht="18.75" customHeight="1">
      <c r="A9" s="135"/>
      <c r="B9" s="329"/>
      <c r="C9" s="329"/>
      <c r="D9" s="329"/>
      <c r="E9" s="329"/>
      <c r="F9" s="329"/>
    </row>
    <row r="10" spans="1:6" ht="18.75" customHeight="1">
      <c r="A10" s="135"/>
      <c r="B10" s="329"/>
      <c r="C10" s="329"/>
      <c r="D10" s="329"/>
      <c r="E10" s="329"/>
      <c r="F10" s="329"/>
    </row>
    <row r="11" spans="1:6" ht="18.75" customHeight="1">
      <c r="A11" s="108"/>
      <c r="B11" s="329"/>
      <c r="C11" s="329"/>
      <c r="D11" s="329"/>
      <c r="E11" s="329"/>
      <c r="F11" s="329"/>
    </row>
    <row r="12" spans="1:6" ht="18.75" customHeight="1" thickBot="1">
      <c r="A12" s="58" t="s">
        <v>569</v>
      </c>
      <c r="B12" s="331">
        <v>-75</v>
      </c>
      <c r="C12" s="331"/>
      <c r="D12" s="331"/>
      <c r="E12" s="331"/>
      <c r="F12" s="331"/>
    </row>
    <row r="13" spans="1:6" s="48" customFormat="1" ht="18.75" customHeight="1" thickTop="1">
      <c r="A13" s="113" t="s">
        <v>150</v>
      </c>
      <c r="B13" s="376">
        <f>SUM(B4:B12)</f>
        <v>1205</v>
      </c>
      <c r="C13" s="376">
        <f>SUM(C4:C12)</f>
        <v>1255</v>
      </c>
      <c r="D13" s="376">
        <f>SUM(D4:D12)</f>
        <v>1365</v>
      </c>
      <c r="E13" s="376">
        <f>SUM(E4:E12)</f>
        <v>1865</v>
      </c>
      <c r="F13" s="376">
        <f>SUM(F4:F12)</f>
        <v>3095</v>
      </c>
    </row>
    <row r="15" spans="1:6" ht="18.75" customHeight="1">
      <c r="A15" s="274" t="s">
        <v>262</v>
      </c>
      <c r="B15" s="151"/>
    </row>
    <row r="16" spans="1:6" ht="18.75" customHeight="1">
      <c r="A16" s="274" t="s">
        <v>297</v>
      </c>
      <c r="B16" s="151"/>
    </row>
    <row r="17" spans="1:1" ht="18.75" customHeight="1">
      <c r="A17" s="17" t="s">
        <v>300</v>
      </c>
    </row>
    <row r="18" spans="1:1" ht="18.75" customHeight="1">
      <c r="A18" s="17" t="s">
        <v>296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K28"/>
  <sheetViews>
    <sheetView workbookViewId="0"/>
  </sheetViews>
  <sheetFormatPr defaultRowHeight="18.75" customHeight="1"/>
  <cols>
    <col min="1" max="1" width="34.7109375" style="107" bestFit="1" customWidth="1"/>
    <col min="2" max="2" width="10.42578125" style="47" hidden="1" customWidth="1"/>
    <col min="3" max="6" width="10.42578125" style="27" customWidth="1"/>
    <col min="7" max="16384" width="9.140625" style="27"/>
  </cols>
  <sheetData>
    <row r="1" spans="1:11" s="48" customFormat="1" ht="18.75" customHeight="1">
      <c r="A1" s="251" t="s">
        <v>734</v>
      </c>
      <c r="B1" s="237"/>
      <c r="C1" s="237"/>
      <c r="D1" s="237"/>
      <c r="E1" s="237"/>
      <c r="F1" s="237"/>
    </row>
    <row r="2" spans="1:11" ht="18.75" customHeight="1">
      <c r="A2" s="108"/>
      <c r="B2" s="51"/>
      <c r="C2" s="51"/>
      <c r="D2" s="51"/>
      <c r="E2" s="51"/>
      <c r="F2" s="51"/>
    </row>
    <row r="3" spans="1:11" s="48" customFormat="1" ht="18.75" customHeight="1">
      <c r="A3" s="114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11" s="134" customFormat="1" ht="11.25" customHeight="1">
      <c r="A4" s="57"/>
      <c r="B4" s="128"/>
      <c r="C4" s="128"/>
      <c r="D4" s="128"/>
      <c r="E4" s="128"/>
      <c r="F4" s="128"/>
    </row>
    <row r="5" spans="1:11" s="48" customFormat="1" ht="18" customHeight="1">
      <c r="A5" s="53" t="s">
        <v>184</v>
      </c>
      <c r="B5" s="62">
        <v>75</v>
      </c>
      <c r="C5" s="62">
        <v>250</v>
      </c>
      <c r="D5" s="62">
        <v>200</v>
      </c>
      <c r="E5" s="62">
        <v>200</v>
      </c>
      <c r="F5" s="62">
        <v>200</v>
      </c>
      <c r="G5" s="102" t="s">
        <v>352</v>
      </c>
    </row>
    <row r="6" spans="1:11" ht="18" customHeight="1">
      <c r="A6" s="60" t="s">
        <v>602</v>
      </c>
      <c r="B6" s="674">
        <v>200</v>
      </c>
      <c r="C6" s="674">
        <v>25</v>
      </c>
      <c r="D6" s="674">
        <v>200</v>
      </c>
      <c r="E6" s="674">
        <v>200</v>
      </c>
      <c r="F6" s="674">
        <v>200</v>
      </c>
      <c r="G6" s="102"/>
    </row>
    <row r="7" spans="1:11" ht="18" customHeight="1">
      <c r="A7" s="53" t="s">
        <v>455</v>
      </c>
      <c r="B7" s="62"/>
      <c r="C7" s="62">
        <v>30</v>
      </c>
      <c r="D7" s="62">
        <v>30</v>
      </c>
      <c r="E7" s="62">
        <v>30</v>
      </c>
      <c r="F7" s="970"/>
      <c r="G7" s="102" t="s">
        <v>429</v>
      </c>
    </row>
    <row r="8" spans="1:11" ht="18" customHeight="1">
      <c r="A8" s="269" t="s">
        <v>92</v>
      </c>
      <c r="B8" s="62">
        <v>100</v>
      </c>
      <c r="C8" s="62">
        <v>100</v>
      </c>
      <c r="D8" s="62">
        <v>125</v>
      </c>
      <c r="E8" s="62">
        <v>125</v>
      </c>
      <c r="F8" s="970"/>
      <c r="G8" s="102" t="s">
        <v>429</v>
      </c>
    </row>
    <row r="9" spans="1:11" ht="18" customHeight="1">
      <c r="A9" s="53" t="s">
        <v>29</v>
      </c>
      <c r="B9" s="62">
        <v>75</v>
      </c>
      <c r="C9" s="62">
        <v>75</v>
      </c>
      <c r="D9" s="62">
        <v>75</v>
      </c>
      <c r="E9" s="62">
        <v>75</v>
      </c>
      <c r="F9" s="970"/>
      <c r="G9" s="102" t="s">
        <v>429</v>
      </c>
      <c r="H9" s="121"/>
      <c r="I9" s="121"/>
      <c r="J9" s="121"/>
      <c r="K9" s="121"/>
    </row>
    <row r="10" spans="1:11" ht="18" customHeight="1">
      <c r="A10" s="269" t="s">
        <v>682</v>
      </c>
      <c r="B10" s="235">
        <v>440</v>
      </c>
      <c r="C10" s="235">
        <v>234</v>
      </c>
      <c r="D10" s="235">
        <v>234</v>
      </c>
      <c r="E10" s="235">
        <v>234</v>
      </c>
      <c r="F10" s="265">
        <v>234</v>
      </c>
      <c r="G10" s="102" t="s">
        <v>545</v>
      </c>
    </row>
    <row r="11" spans="1:11" ht="18" customHeight="1">
      <c r="A11" s="53" t="s">
        <v>379</v>
      </c>
      <c r="B11" s="62">
        <v>200</v>
      </c>
      <c r="C11" s="62">
        <v>200</v>
      </c>
      <c r="D11" s="62">
        <v>200</v>
      </c>
      <c r="E11" s="62">
        <v>200</v>
      </c>
      <c r="F11" s="970">
        <v>200</v>
      </c>
      <c r="G11" s="102" t="s">
        <v>665</v>
      </c>
    </row>
    <row r="12" spans="1:11" ht="18" customHeight="1">
      <c r="A12" s="53" t="s">
        <v>510</v>
      </c>
      <c r="B12" s="62"/>
      <c r="C12" s="62">
        <v>85</v>
      </c>
      <c r="D12" s="62">
        <v>85</v>
      </c>
      <c r="E12" s="62">
        <v>85</v>
      </c>
      <c r="F12" s="970">
        <v>90</v>
      </c>
      <c r="G12" s="102" t="s">
        <v>511</v>
      </c>
    </row>
    <row r="13" spans="1:11" ht="18" customHeight="1">
      <c r="A13" s="53" t="s">
        <v>750</v>
      </c>
      <c r="B13" s="62">
        <v>150</v>
      </c>
      <c r="C13" s="62">
        <v>150</v>
      </c>
      <c r="D13" s="62">
        <v>165</v>
      </c>
      <c r="E13" s="62">
        <v>1165</v>
      </c>
      <c r="F13" s="970">
        <v>1165</v>
      </c>
      <c r="G13" s="102"/>
    </row>
    <row r="14" spans="1:11" ht="18" customHeight="1">
      <c r="A14" s="53" t="s">
        <v>449</v>
      </c>
      <c r="B14" s="62"/>
      <c r="C14" s="62">
        <v>300</v>
      </c>
      <c r="D14" s="62">
        <v>350</v>
      </c>
      <c r="E14" s="62">
        <v>350</v>
      </c>
      <c r="F14" s="970">
        <v>350</v>
      </c>
      <c r="G14" s="102" t="s">
        <v>664</v>
      </c>
    </row>
    <row r="15" spans="1:11" ht="18" customHeight="1">
      <c r="A15" s="53" t="s">
        <v>359</v>
      </c>
      <c r="B15" s="62">
        <v>1000</v>
      </c>
      <c r="C15" s="62">
        <v>1000</v>
      </c>
      <c r="D15" s="62">
        <v>1000</v>
      </c>
      <c r="E15" s="62">
        <v>1000</v>
      </c>
      <c r="F15" s="970">
        <v>1100</v>
      </c>
      <c r="G15" s="102"/>
    </row>
    <row r="16" spans="1:11" ht="18" customHeight="1">
      <c r="A16" s="53" t="s">
        <v>394</v>
      </c>
      <c r="B16" s="62">
        <v>175</v>
      </c>
      <c r="C16" s="62">
        <v>175</v>
      </c>
      <c r="D16" s="62">
        <v>105</v>
      </c>
      <c r="E16" s="62">
        <f>4*35</f>
        <v>140</v>
      </c>
      <c r="F16" s="970">
        <f>4*35</f>
        <v>140</v>
      </c>
      <c r="G16" s="377" t="s">
        <v>546</v>
      </c>
    </row>
    <row r="17" spans="1:8" ht="22.5" customHeight="1">
      <c r="A17" s="335" t="s">
        <v>287</v>
      </c>
      <c r="B17" s="62">
        <v>75</v>
      </c>
      <c r="C17" s="62">
        <v>75</v>
      </c>
      <c r="D17" s="62">
        <v>75</v>
      </c>
      <c r="E17" s="62">
        <v>75</v>
      </c>
      <c r="F17" s="970">
        <v>75</v>
      </c>
      <c r="G17" s="102"/>
    </row>
    <row r="18" spans="1:8" ht="18" customHeight="1">
      <c r="A18" s="335" t="s">
        <v>54</v>
      </c>
      <c r="B18" s="62">
        <v>100</v>
      </c>
      <c r="C18" s="62">
        <v>75</v>
      </c>
      <c r="D18" s="62">
        <v>200</v>
      </c>
      <c r="E18" s="62">
        <v>200</v>
      </c>
      <c r="F18" s="970">
        <v>200</v>
      </c>
      <c r="G18" s="102" t="s">
        <v>352</v>
      </c>
    </row>
    <row r="19" spans="1:8" ht="18" customHeight="1">
      <c r="A19" s="335" t="s">
        <v>683</v>
      </c>
      <c r="B19" s="62"/>
      <c r="C19" s="62">
        <v>22</v>
      </c>
      <c r="D19" s="62">
        <v>22</v>
      </c>
      <c r="E19" s="62">
        <v>22</v>
      </c>
      <c r="F19" s="970"/>
      <c r="G19" s="102" t="s">
        <v>429</v>
      </c>
    </row>
    <row r="20" spans="1:8" ht="18" customHeight="1">
      <c r="A20" s="335" t="s">
        <v>681</v>
      </c>
      <c r="B20" s="62"/>
      <c r="C20" s="62"/>
      <c r="D20" s="62"/>
      <c r="E20" s="62"/>
      <c r="F20" s="970">
        <v>50</v>
      </c>
      <c r="G20" s="102" t="s">
        <v>666</v>
      </c>
      <c r="H20" s="152"/>
    </row>
    <row r="21" spans="1:8" ht="18" customHeight="1">
      <c r="A21" s="335"/>
      <c r="B21" s="62"/>
      <c r="C21" s="62"/>
      <c r="D21" s="62"/>
      <c r="E21" s="62"/>
      <c r="F21" s="970"/>
      <c r="G21" s="102"/>
    </row>
    <row r="22" spans="1:8" ht="18" customHeight="1">
      <c r="A22" s="335"/>
      <c r="B22" s="62"/>
      <c r="C22" s="62"/>
      <c r="D22" s="62"/>
      <c r="E22" s="62"/>
      <c r="F22" s="970"/>
      <c r="G22" s="102"/>
    </row>
    <row r="23" spans="1:8" ht="18" customHeight="1">
      <c r="A23" s="795" t="s">
        <v>569</v>
      </c>
      <c r="B23" s="345">
        <v>-700</v>
      </c>
      <c r="C23" s="345">
        <v>250</v>
      </c>
      <c r="D23" s="345"/>
      <c r="E23" s="345"/>
      <c r="F23" s="971"/>
      <c r="G23" s="102"/>
    </row>
    <row r="24" spans="1:8" ht="18" customHeight="1">
      <c r="A24" s="362" t="s">
        <v>150</v>
      </c>
      <c r="B24" s="378">
        <f>SUM(B4:B23)</f>
        <v>1890</v>
      </c>
      <c r="C24" s="378">
        <f>SUM(C4:C23)</f>
        <v>3046</v>
      </c>
      <c r="D24" s="378">
        <f>SUM(D4:D23)</f>
        <v>3066</v>
      </c>
      <c r="E24" s="378">
        <f>SUM(E5:E23)</f>
        <v>4101</v>
      </c>
      <c r="F24" s="378">
        <f>SUM(F5:F23)</f>
        <v>4004</v>
      </c>
      <c r="G24" s="287"/>
    </row>
    <row r="25" spans="1:8" s="48" customFormat="1" ht="22.5" customHeight="1">
      <c r="A25" s="107"/>
      <c r="B25" s="47"/>
      <c r="C25" s="27"/>
      <c r="D25" s="27"/>
      <c r="E25" s="27"/>
      <c r="F25" s="27"/>
      <c r="G25" s="27"/>
    </row>
    <row r="26" spans="1:8" ht="18.75" customHeight="1">
      <c r="A26" s="17"/>
    </row>
    <row r="27" spans="1:8" ht="18.75" customHeight="1">
      <c r="A27" s="275"/>
    </row>
    <row r="28" spans="1:8" ht="18.75" customHeight="1">
      <c r="A28" s="275"/>
    </row>
  </sheetData>
  <sortState ref="A5:F25">
    <sortCondition ref="A5"/>
  </sortState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G10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6.85546875" style="107" customWidth="1"/>
    <col min="2" max="2" width="11.7109375" style="47" hidden="1" customWidth="1"/>
    <col min="3" max="4" width="11.7109375" style="27" customWidth="1"/>
    <col min="5" max="6" width="11.42578125" style="27" customWidth="1"/>
    <col min="7" max="16384" width="9.140625" style="27"/>
  </cols>
  <sheetData>
    <row r="1" spans="1:7" s="230" customFormat="1" ht="18.75" customHeight="1">
      <c r="A1" s="251" t="s">
        <v>736</v>
      </c>
      <c r="B1" s="237"/>
      <c r="C1" s="237"/>
      <c r="D1" s="237"/>
      <c r="E1" s="237"/>
      <c r="F1" s="237"/>
    </row>
    <row r="2" spans="1:7" ht="12.75" customHeight="1">
      <c r="A2" s="108"/>
      <c r="B2" s="51"/>
      <c r="C2" s="51"/>
      <c r="D2" s="51"/>
      <c r="E2" s="51"/>
      <c r="F2" s="51"/>
    </row>
    <row r="3" spans="1:7" s="48" customFormat="1" ht="18.75" customHeight="1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  <c r="G3" s="121"/>
    </row>
    <row r="4" spans="1:7" s="134" customFormat="1" ht="18.75" customHeight="1">
      <c r="A4" s="111"/>
      <c r="B4" s="141"/>
      <c r="C4" s="141"/>
      <c r="D4" s="141"/>
      <c r="E4" s="141"/>
      <c r="F4" s="141"/>
      <c r="G4" s="121"/>
    </row>
    <row r="5" spans="1:7" ht="18" customHeight="1">
      <c r="A5" s="187" t="s">
        <v>0</v>
      </c>
      <c r="B5" s="115">
        <v>300</v>
      </c>
      <c r="C5" s="115">
        <v>500</v>
      </c>
      <c r="D5" s="115">
        <v>500</v>
      </c>
      <c r="E5" s="115">
        <v>500</v>
      </c>
      <c r="F5" s="115">
        <v>500</v>
      </c>
      <c r="G5" s="121"/>
    </row>
    <row r="6" spans="1:7" ht="18" customHeight="1">
      <c r="A6" s="187" t="s">
        <v>668</v>
      </c>
      <c r="B6" s="115">
        <v>300</v>
      </c>
      <c r="C6" s="115">
        <v>300</v>
      </c>
      <c r="D6" s="115">
        <v>250</v>
      </c>
      <c r="E6" s="115">
        <v>0</v>
      </c>
      <c r="F6" s="115">
        <f>50*12</f>
        <v>600</v>
      </c>
      <c r="G6" s="121"/>
    </row>
    <row r="7" spans="1:7" ht="18" customHeight="1">
      <c r="A7" s="492" t="s">
        <v>751</v>
      </c>
      <c r="B7" s="493">
        <v>15000</v>
      </c>
      <c r="C7" s="493">
        <v>7500</v>
      </c>
      <c r="D7" s="493">
        <v>7200</v>
      </c>
      <c r="E7" s="493">
        <v>7500</v>
      </c>
      <c r="F7" s="493">
        <v>7500</v>
      </c>
      <c r="G7" s="121"/>
    </row>
    <row r="8" spans="1:7" ht="18" customHeight="1">
      <c r="A8" s="187" t="s">
        <v>735</v>
      </c>
      <c r="B8" s="115">
        <v>850</v>
      </c>
      <c r="C8" s="115">
        <v>975</v>
      </c>
      <c r="D8" s="115">
        <v>900</v>
      </c>
      <c r="E8" s="115">
        <v>1000</v>
      </c>
      <c r="F8" s="115">
        <v>895</v>
      </c>
      <c r="G8" s="121"/>
    </row>
    <row r="9" spans="1:7" ht="18" customHeight="1">
      <c r="A9" s="492" t="s">
        <v>606</v>
      </c>
      <c r="B9" s="493"/>
      <c r="C9" s="493">
        <v>10000</v>
      </c>
      <c r="D9" s="493">
        <v>2400</v>
      </c>
      <c r="E9" s="70">
        <f>60*75</f>
        <v>4500</v>
      </c>
      <c r="F9" s="70">
        <f>60*75</f>
        <v>4500</v>
      </c>
      <c r="G9" s="121"/>
    </row>
    <row r="10" spans="1:7" ht="18" customHeight="1">
      <c r="A10" s="71" t="s">
        <v>1</v>
      </c>
      <c r="B10" s="115">
        <v>200</v>
      </c>
      <c r="C10" s="115">
        <v>600</v>
      </c>
      <c r="D10" s="115">
        <v>400</v>
      </c>
      <c r="E10" s="115">
        <v>500</v>
      </c>
      <c r="F10" s="115">
        <v>500</v>
      </c>
      <c r="G10" s="121"/>
    </row>
    <row r="11" spans="1:7" ht="18" customHeight="1">
      <c r="A11" s="71" t="s">
        <v>669</v>
      </c>
      <c r="B11" s="115">
        <v>1000</v>
      </c>
      <c r="C11" s="115">
        <v>2000</v>
      </c>
      <c r="D11" s="115">
        <v>2500</v>
      </c>
      <c r="E11" s="115">
        <v>1500</v>
      </c>
      <c r="F11" s="115">
        <f>650*2</f>
        <v>1300</v>
      </c>
      <c r="G11" s="121"/>
    </row>
    <row r="12" spans="1:7" ht="18" customHeight="1">
      <c r="A12" s="492" t="s">
        <v>519</v>
      </c>
      <c r="B12" s="493"/>
      <c r="C12" s="493">
        <v>225</v>
      </c>
      <c r="D12" s="493">
        <v>250</v>
      </c>
      <c r="E12" s="493">
        <v>300</v>
      </c>
      <c r="F12" s="493">
        <v>300</v>
      </c>
      <c r="G12" s="121"/>
    </row>
    <row r="13" spans="1:7" ht="18" customHeight="1">
      <c r="A13" s="71" t="s">
        <v>517</v>
      </c>
      <c r="B13" s="115">
        <v>1000</v>
      </c>
      <c r="C13" s="115">
        <v>200</v>
      </c>
      <c r="D13" s="115">
        <v>200</v>
      </c>
      <c r="E13" s="115">
        <v>2500</v>
      </c>
      <c r="F13" s="115">
        <v>2500</v>
      </c>
      <c r="G13" s="121"/>
    </row>
    <row r="14" spans="1:7" ht="18" customHeight="1">
      <c r="A14" s="71" t="s">
        <v>518</v>
      </c>
      <c r="B14" s="115">
        <v>500</v>
      </c>
      <c r="C14" s="115">
        <v>500</v>
      </c>
      <c r="D14" s="115">
        <v>500</v>
      </c>
      <c r="E14" s="115">
        <v>500</v>
      </c>
      <c r="F14" s="115">
        <v>500</v>
      </c>
      <c r="G14" s="121"/>
    </row>
    <row r="15" spans="1:7" ht="18" customHeight="1">
      <c r="A15" s="675" t="s">
        <v>667</v>
      </c>
      <c r="B15" s="70"/>
      <c r="C15" s="70"/>
      <c r="D15" s="70">
        <v>8000</v>
      </c>
      <c r="E15" s="70">
        <v>1000</v>
      </c>
      <c r="F15" s="70">
        <v>500</v>
      </c>
      <c r="G15" s="121"/>
    </row>
    <row r="16" spans="1:7" ht="18" customHeight="1">
      <c r="A16" s="676" t="s">
        <v>293</v>
      </c>
      <c r="B16" s="115">
        <v>200</v>
      </c>
      <c r="C16" s="115">
        <v>200</v>
      </c>
      <c r="D16" s="115">
        <v>200</v>
      </c>
      <c r="E16" s="115">
        <v>200</v>
      </c>
      <c r="F16" s="115"/>
      <c r="G16" s="121"/>
    </row>
    <row r="17" spans="1:7" ht="18" customHeight="1">
      <c r="A17" s="492" t="s">
        <v>626</v>
      </c>
      <c r="B17" s="493"/>
      <c r="C17" s="493"/>
      <c r="D17" s="493"/>
      <c r="E17" s="493"/>
      <c r="F17" s="493">
        <f>3500</f>
        <v>3500</v>
      </c>
      <c r="G17" s="121"/>
    </row>
    <row r="18" spans="1:7" ht="18" customHeight="1">
      <c r="A18" s="492" t="s">
        <v>670</v>
      </c>
      <c r="B18" s="493"/>
      <c r="C18" s="493"/>
      <c r="D18" s="493"/>
      <c r="E18" s="493"/>
      <c r="F18" s="70">
        <f>1000*2</f>
        <v>2000</v>
      </c>
      <c r="G18" s="121"/>
    </row>
    <row r="19" spans="1:7" ht="18" customHeight="1">
      <c r="A19" s="492"/>
      <c r="B19" s="493"/>
      <c r="C19" s="493"/>
      <c r="D19" s="493"/>
      <c r="E19" s="493"/>
      <c r="F19" s="493"/>
      <c r="G19" s="121"/>
    </row>
    <row r="20" spans="1:7" ht="18" customHeight="1">
      <c r="A20" s="492"/>
      <c r="B20" s="493"/>
      <c r="C20" s="493"/>
      <c r="D20" s="493"/>
      <c r="E20" s="493"/>
      <c r="F20" s="493"/>
      <c r="G20" s="121"/>
    </row>
    <row r="21" spans="1:7" ht="18" customHeight="1">
      <c r="A21" s="492"/>
      <c r="B21" s="493"/>
      <c r="C21" s="493"/>
      <c r="D21" s="493"/>
      <c r="E21" s="493"/>
      <c r="F21" s="493"/>
      <c r="G21" s="121"/>
    </row>
    <row r="22" spans="1:7" ht="18" customHeight="1" thickBot="1">
      <c r="A22" s="678" t="s">
        <v>569</v>
      </c>
      <c r="B22" s="677">
        <v>-8000</v>
      </c>
      <c r="C22" s="677"/>
      <c r="D22" s="677"/>
      <c r="E22" s="677"/>
      <c r="F22" s="677"/>
      <c r="G22" s="121"/>
    </row>
    <row r="23" spans="1:7" ht="18" customHeight="1">
      <c r="A23" s="256" t="s">
        <v>141</v>
      </c>
      <c r="B23" s="547">
        <f>SUM(B4:B22)</f>
        <v>11350</v>
      </c>
      <c r="C23" s="547">
        <f>SUM(C4:C22)</f>
        <v>23000</v>
      </c>
      <c r="D23" s="547">
        <f>SUM(D4:D22)</f>
        <v>23300</v>
      </c>
      <c r="E23" s="547">
        <f>SUM(E4:E22)</f>
        <v>20000</v>
      </c>
      <c r="F23" s="547">
        <f>SUM(F4:F22)</f>
        <v>25095</v>
      </c>
      <c r="G23" s="121"/>
    </row>
    <row r="24" spans="1:7" ht="18" customHeight="1"/>
    <row r="25" spans="1:7" ht="18" customHeight="1">
      <c r="A25" s="27"/>
      <c r="B25" s="27"/>
    </row>
    <row r="26" spans="1:7" ht="18" customHeight="1">
      <c r="A26" s="27"/>
      <c r="B26" s="27"/>
    </row>
    <row r="27" spans="1:7" s="48" customFormat="1" ht="20.25" customHeight="1">
      <c r="A27" s="27"/>
      <c r="B27" s="27"/>
      <c r="C27" s="27"/>
      <c r="D27" s="27"/>
      <c r="E27" s="27"/>
      <c r="F27" s="27"/>
      <c r="G27" s="27"/>
    </row>
    <row r="28" spans="1:7" ht="18.75" customHeight="1">
      <c r="A28" s="27"/>
      <c r="B28" s="27"/>
    </row>
    <row r="29" spans="1:7" ht="18.75" customHeight="1">
      <c r="A29" s="27"/>
      <c r="B29" s="27"/>
    </row>
    <row r="30" spans="1:7" ht="18.75" customHeight="1">
      <c r="A30" s="27"/>
      <c r="B30" s="27"/>
    </row>
    <row r="31" spans="1:7" ht="18" customHeight="1">
      <c r="A31" s="27"/>
      <c r="B31" s="27"/>
    </row>
    <row r="32" spans="1:7" ht="18" customHeight="1">
      <c r="A32" s="27"/>
      <c r="B32" s="27"/>
    </row>
    <row r="33" spans="1:2" ht="18" customHeight="1">
      <c r="A33" s="27"/>
      <c r="B33" s="27"/>
    </row>
    <row r="34" spans="1:2" ht="18" customHeight="1">
      <c r="A34" s="27"/>
      <c r="B34" s="27"/>
    </row>
    <row r="35" spans="1:2" ht="18" customHeight="1">
      <c r="A35" s="27"/>
      <c r="B35" s="27"/>
    </row>
    <row r="36" spans="1:2" ht="18" customHeight="1">
      <c r="A36" s="27"/>
      <c r="B36" s="27"/>
    </row>
    <row r="37" spans="1:2" ht="18" customHeight="1">
      <c r="A37" s="27"/>
      <c r="B37" s="27"/>
    </row>
    <row r="38" spans="1:2" ht="18" customHeight="1">
      <c r="A38" s="27"/>
      <c r="B38" s="27"/>
    </row>
    <row r="39" spans="1:2" ht="18" customHeight="1">
      <c r="A39" s="27"/>
      <c r="B39" s="27"/>
    </row>
    <row r="40" spans="1:2" ht="18" customHeight="1">
      <c r="A40" s="27"/>
      <c r="B40" s="27"/>
    </row>
    <row r="41" spans="1:2" ht="18" customHeight="1">
      <c r="A41" s="27"/>
      <c r="B41" s="27"/>
    </row>
    <row r="42" spans="1:2" ht="18" customHeight="1">
      <c r="A42" s="27"/>
      <c r="B42" s="27"/>
    </row>
    <row r="43" spans="1:2" ht="18" customHeight="1">
      <c r="A43" s="27"/>
      <c r="B43" s="27"/>
    </row>
    <row r="44" spans="1:2" ht="18" customHeight="1">
      <c r="A44" s="27"/>
      <c r="B44" s="27"/>
    </row>
    <row r="45" spans="1:2" ht="18" customHeight="1">
      <c r="A45" s="27"/>
      <c r="B45" s="27"/>
    </row>
    <row r="46" spans="1:2" ht="18" customHeight="1">
      <c r="A46" s="27"/>
      <c r="B46" s="27"/>
    </row>
    <row r="47" spans="1:2" ht="18" customHeight="1">
      <c r="A47" s="27"/>
      <c r="B47" s="27"/>
    </row>
    <row r="48" spans="1:2" ht="18" customHeight="1">
      <c r="A48" s="27"/>
      <c r="B48" s="27"/>
    </row>
    <row r="49" spans="1:2" ht="18" customHeight="1">
      <c r="A49" s="27"/>
      <c r="B49" s="27"/>
    </row>
    <row r="50" spans="1:2" ht="18" customHeight="1">
      <c r="A50" s="27"/>
      <c r="B50" s="27"/>
    </row>
    <row r="51" spans="1:2" ht="18" customHeight="1">
      <c r="A51" s="27"/>
      <c r="B51" s="27"/>
    </row>
    <row r="52" spans="1:2" ht="18" customHeight="1">
      <c r="A52" s="27"/>
      <c r="B52" s="27"/>
    </row>
    <row r="53" spans="1:2" ht="18" customHeight="1">
      <c r="A53" s="27"/>
      <c r="B53" s="27"/>
    </row>
    <row r="54" spans="1:2" ht="18" customHeight="1">
      <c r="A54" s="27"/>
      <c r="B54" s="27"/>
    </row>
    <row r="55" spans="1:2" ht="18" customHeight="1">
      <c r="A55" s="27"/>
      <c r="B55" s="27"/>
    </row>
    <row r="56" spans="1:2" ht="18" customHeight="1">
      <c r="A56" s="27"/>
      <c r="B56" s="27"/>
    </row>
    <row r="57" spans="1:2" ht="18" customHeight="1">
      <c r="A57" s="27"/>
      <c r="B57" s="27"/>
    </row>
    <row r="58" spans="1:2" ht="18" customHeight="1">
      <c r="A58" s="27"/>
      <c r="B58" s="27"/>
    </row>
    <row r="59" spans="1:2" ht="18" customHeight="1">
      <c r="A59" s="27"/>
      <c r="B59" s="27"/>
    </row>
    <row r="60" spans="1:2" ht="18" customHeight="1">
      <c r="A60" s="27"/>
      <c r="B60" s="27"/>
    </row>
    <row r="61" spans="1:2" ht="18" customHeight="1">
      <c r="A61" s="27"/>
      <c r="B61" s="27"/>
    </row>
    <row r="62" spans="1:2" ht="18" customHeight="1">
      <c r="A62" s="27"/>
      <c r="B62" s="27"/>
    </row>
    <row r="63" spans="1:2" ht="18" customHeight="1">
      <c r="A63" s="27"/>
      <c r="B63" s="27"/>
    </row>
    <row r="64" spans="1:2" ht="18" customHeight="1">
      <c r="A64" s="27"/>
      <c r="B64" s="27"/>
    </row>
    <row r="65" spans="1:2" ht="18" customHeight="1">
      <c r="A65" s="27"/>
      <c r="B65" s="27"/>
    </row>
    <row r="66" spans="1:2" ht="18" customHeight="1">
      <c r="A66" s="27"/>
      <c r="B66" s="27"/>
    </row>
    <row r="67" spans="1:2" ht="18.75" customHeight="1">
      <c r="A67" s="27"/>
      <c r="B67" s="27"/>
    </row>
    <row r="68" spans="1:2" ht="18.75" customHeight="1">
      <c r="A68" s="27"/>
      <c r="B68" s="27"/>
    </row>
    <row r="69" spans="1:2" ht="18.75" customHeight="1">
      <c r="A69" s="27"/>
      <c r="B69" s="27"/>
    </row>
    <row r="70" spans="1:2" ht="18.75" customHeight="1">
      <c r="A70" s="27"/>
      <c r="B70" s="27"/>
    </row>
    <row r="71" spans="1:2" ht="18.75" customHeight="1">
      <c r="A71" s="27"/>
      <c r="B71" s="27"/>
    </row>
    <row r="72" spans="1:2" ht="18.75" customHeight="1">
      <c r="A72" s="27"/>
      <c r="B72" s="27"/>
    </row>
    <row r="73" spans="1:2" ht="18.75" customHeight="1">
      <c r="A73" s="27"/>
      <c r="B73" s="27"/>
    </row>
    <row r="74" spans="1:2" ht="18.75" customHeight="1">
      <c r="A74" s="27"/>
      <c r="B74" s="27"/>
    </row>
    <row r="75" spans="1:2" ht="18.75" customHeight="1">
      <c r="A75" s="27"/>
      <c r="B75" s="27"/>
    </row>
    <row r="76" spans="1:2" ht="18.75" customHeight="1">
      <c r="A76" s="27"/>
      <c r="B76" s="27"/>
    </row>
    <row r="77" spans="1:2" ht="18.75" customHeight="1">
      <c r="A77" s="27"/>
      <c r="B77" s="27"/>
    </row>
    <row r="78" spans="1:2" ht="18.75" customHeight="1">
      <c r="A78" s="27"/>
      <c r="B78" s="27"/>
    </row>
    <row r="79" spans="1:2" ht="18.75" customHeight="1">
      <c r="A79" s="27"/>
      <c r="B79" s="27"/>
    </row>
    <row r="80" spans="1:2" ht="18.75" customHeight="1">
      <c r="A80" s="27"/>
      <c r="B80" s="27"/>
    </row>
    <row r="81" spans="1:2" ht="18.75" customHeight="1">
      <c r="A81" s="27"/>
      <c r="B81" s="27"/>
    </row>
    <row r="82" spans="1:2" ht="18.75" customHeight="1">
      <c r="A82" s="27"/>
      <c r="B82" s="27"/>
    </row>
    <row r="83" spans="1:2" ht="18.75" customHeight="1">
      <c r="A83" s="27"/>
      <c r="B83" s="27"/>
    </row>
    <row r="84" spans="1:2" ht="18.75" customHeight="1">
      <c r="A84" s="27"/>
      <c r="B84" s="27"/>
    </row>
    <row r="85" spans="1:2" ht="18.75" customHeight="1">
      <c r="A85" s="27"/>
      <c r="B85" s="27"/>
    </row>
    <row r="86" spans="1:2" ht="18.75" customHeight="1">
      <c r="A86" s="27"/>
      <c r="B86" s="27"/>
    </row>
    <row r="87" spans="1:2" ht="18.75" customHeight="1">
      <c r="A87" s="27"/>
      <c r="B87" s="27"/>
    </row>
    <row r="88" spans="1:2" ht="18.75" customHeight="1">
      <c r="A88" s="27"/>
      <c r="B88" s="27"/>
    </row>
    <row r="89" spans="1:2" ht="18.75" customHeight="1">
      <c r="A89" s="27"/>
      <c r="B89" s="27"/>
    </row>
    <row r="90" spans="1:2" ht="18.75" customHeight="1">
      <c r="A90" s="27"/>
      <c r="B90" s="27"/>
    </row>
    <row r="91" spans="1:2" ht="18.75" customHeight="1">
      <c r="A91" s="27"/>
      <c r="B91" s="27"/>
    </row>
    <row r="92" spans="1:2" ht="18.75" customHeight="1">
      <c r="A92" s="27"/>
      <c r="B92" s="27"/>
    </row>
    <row r="93" spans="1:2" ht="18.75" customHeight="1">
      <c r="A93" s="27"/>
      <c r="B93" s="27"/>
    </row>
    <row r="94" spans="1:2" ht="18.75" customHeight="1">
      <c r="A94" s="27"/>
      <c r="B94" s="27"/>
    </row>
    <row r="95" spans="1:2" ht="18.75" customHeight="1">
      <c r="A95" s="27"/>
      <c r="B95" s="27"/>
    </row>
    <row r="96" spans="1:2" ht="18.75" customHeight="1">
      <c r="A96" s="27"/>
      <c r="B96" s="27"/>
    </row>
    <row r="97" spans="1:2" ht="18.75" customHeight="1">
      <c r="A97" s="27"/>
      <c r="B97" s="27"/>
    </row>
    <row r="98" spans="1:2" ht="18.75" customHeight="1">
      <c r="A98" s="27"/>
      <c r="B98" s="27"/>
    </row>
    <row r="99" spans="1:2" ht="18.75" customHeight="1">
      <c r="A99" s="27"/>
      <c r="B99" s="27"/>
    </row>
    <row r="100" spans="1:2" ht="18.75" customHeight="1">
      <c r="A100" s="27"/>
      <c r="B100" s="27"/>
    </row>
    <row r="101" spans="1:2" ht="18.75" customHeight="1">
      <c r="A101" s="27"/>
      <c r="B101" s="27"/>
    </row>
    <row r="102" spans="1:2" ht="18.75" customHeight="1">
      <c r="A102" s="27"/>
      <c r="B102" s="27"/>
    </row>
    <row r="103" spans="1:2" ht="18.75" customHeight="1">
      <c r="A103" s="27"/>
      <c r="B103" s="27"/>
    </row>
    <row r="104" spans="1:2" ht="18.75" customHeight="1">
      <c r="A104" s="27"/>
      <c r="B104" s="27"/>
    </row>
    <row r="105" spans="1:2" ht="18.75" customHeight="1">
      <c r="A105" s="27"/>
      <c r="B105" s="27"/>
    </row>
    <row r="106" spans="1:2" ht="18.75" customHeight="1">
      <c r="A106" s="27"/>
      <c r="B106" s="27"/>
    </row>
    <row r="107" spans="1:2" ht="18.75" customHeight="1">
      <c r="A107" s="27"/>
      <c r="B107" s="27"/>
    </row>
    <row r="108" spans="1:2" ht="18.75" customHeight="1">
      <c r="A108" s="27"/>
      <c r="B108" s="27"/>
    </row>
  </sheetData>
  <sortState ref="A5:E23">
    <sortCondition ref="A5"/>
  </sortState>
  <phoneticPr fontId="19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28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:F16"/>
  <sheetViews>
    <sheetView workbookViewId="0"/>
  </sheetViews>
  <sheetFormatPr defaultRowHeight="18.75" customHeight="1"/>
  <cols>
    <col min="1" max="1" width="33.42578125" style="14" customWidth="1"/>
    <col min="2" max="2" width="10.7109375" style="15" hidden="1" customWidth="1"/>
    <col min="3" max="6" width="10.7109375" style="106" customWidth="1"/>
    <col min="7" max="16384" width="9.140625" style="106"/>
  </cols>
  <sheetData>
    <row r="1" spans="1:6" s="213" customFormat="1" ht="22.5" customHeight="1">
      <c r="A1" s="251" t="s">
        <v>737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213" customFormat="1" ht="18.75" customHeight="1">
      <c r="A3" s="114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214" customFormat="1" ht="18.75" customHeight="1">
      <c r="A4" s="57"/>
      <c r="B4" s="111"/>
      <c r="C4" s="111"/>
      <c r="D4" s="111"/>
      <c r="E4" s="111"/>
      <c r="F4" s="111"/>
    </row>
    <row r="5" spans="1:6" ht="18.75" customHeight="1">
      <c r="A5" s="57" t="s">
        <v>289</v>
      </c>
      <c r="B5" s="44">
        <v>50</v>
      </c>
      <c r="C5" s="44">
        <v>50</v>
      </c>
      <c r="D5" s="44">
        <v>50</v>
      </c>
      <c r="E5" s="44">
        <v>50</v>
      </c>
      <c r="F5" s="44">
        <v>50</v>
      </c>
    </row>
    <row r="6" spans="1:6" ht="18.75" customHeight="1">
      <c r="A6" s="57" t="s">
        <v>288</v>
      </c>
      <c r="B6" s="44">
        <v>1000</v>
      </c>
      <c r="C6" s="44">
        <v>2000</v>
      </c>
      <c r="D6" s="44"/>
      <c r="E6" s="852">
        <v>1800</v>
      </c>
      <c r="F6" s="852" t="s">
        <v>779</v>
      </c>
    </row>
    <row r="7" spans="1:6" ht="18.75" customHeight="1">
      <c r="A7" s="57" t="s">
        <v>292</v>
      </c>
      <c r="B7" s="44">
        <v>40</v>
      </c>
      <c r="C7" s="44">
        <v>40</v>
      </c>
      <c r="D7" s="44">
        <v>50</v>
      </c>
      <c r="E7" s="44">
        <v>50</v>
      </c>
      <c r="F7" s="44">
        <v>50</v>
      </c>
    </row>
    <row r="8" spans="1:6" ht="18.75" customHeight="1">
      <c r="A8" s="57" t="s">
        <v>290</v>
      </c>
      <c r="B8" s="68">
        <v>10</v>
      </c>
      <c r="C8" s="68">
        <v>10</v>
      </c>
      <c r="D8" s="68">
        <v>10</v>
      </c>
      <c r="E8" s="68">
        <v>10</v>
      </c>
      <c r="F8" s="68">
        <v>10</v>
      </c>
    </row>
    <row r="9" spans="1:6" ht="18.75" customHeight="1">
      <c r="A9" s="57" t="s">
        <v>291</v>
      </c>
      <c r="B9" s="44">
        <v>800</v>
      </c>
      <c r="C9" s="44">
        <v>600</v>
      </c>
      <c r="D9" s="44">
        <v>750</v>
      </c>
      <c r="E9" s="44">
        <v>750</v>
      </c>
      <c r="F9" s="44">
        <v>750</v>
      </c>
    </row>
    <row r="10" spans="1:6" s="213" customFormat="1" ht="18.75" customHeight="1">
      <c r="A10" s="579"/>
      <c r="B10" s="68"/>
      <c r="C10" s="68"/>
      <c r="D10" s="68"/>
      <c r="E10" s="68"/>
      <c r="F10" s="68"/>
    </row>
    <row r="11" spans="1:6" s="213" customFormat="1" ht="18.75" customHeight="1">
      <c r="A11" s="395"/>
      <c r="B11" s="68"/>
      <c r="C11" s="68"/>
      <c r="D11" s="68"/>
      <c r="E11" s="68"/>
      <c r="F11" s="68"/>
    </row>
    <row r="12" spans="1:6" s="213" customFormat="1" ht="18.75" customHeight="1" thickBot="1">
      <c r="A12" s="395" t="s">
        <v>569</v>
      </c>
      <c r="B12" s="386">
        <v>-1100</v>
      </c>
      <c r="C12" s="386"/>
      <c r="D12" s="386"/>
      <c r="E12" s="386"/>
      <c r="F12" s="386"/>
    </row>
    <row r="13" spans="1:6" ht="18.75" customHeight="1" thickTop="1">
      <c r="A13" s="123" t="s">
        <v>150</v>
      </c>
      <c r="B13" s="122">
        <f>SUM(B4:B12)</f>
        <v>800</v>
      </c>
      <c r="C13" s="122">
        <f>SUM(C4:C12)</f>
        <v>2700</v>
      </c>
      <c r="D13" s="122">
        <f>SUM(D4:D12)</f>
        <v>860</v>
      </c>
      <c r="E13" s="122">
        <f>SUM(E4:E12)</f>
        <v>2660</v>
      </c>
      <c r="F13" s="122">
        <f>SUM(F4:F12)</f>
        <v>860</v>
      </c>
    </row>
    <row r="14" spans="1:6" ht="18.75" customHeight="1">
      <c r="A14" s="107"/>
      <c r="B14" s="47"/>
      <c r="C14" s="27"/>
    </row>
    <row r="15" spans="1:6" ht="18.75" customHeight="1">
      <c r="A15" s="17"/>
      <c r="B15" s="47"/>
      <c r="C15" s="27"/>
    </row>
    <row r="16" spans="1:6" ht="18.75" customHeight="1">
      <c r="A16" s="107"/>
      <c r="B16" s="47"/>
      <c r="C16" s="27"/>
    </row>
  </sheetData>
  <sortState ref="A5:E9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workbookViewId="0"/>
  </sheetViews>
  <sheetFormatPr defaultRowHeight="14.25"/>
  <cols>
    <col min="1" max="1" width="32.85546875" style="217" customWidth="1"/>
    <col min="2" max="2" width="11.7109375" style="217" hidden="1" customWidth="1"/>
    <col min="3" max="6" width="11.7109375" style="217" customWidth="1"/>
    <col min="7" max="16384" width="9.140625" style="217"/>
  </cols>
  <sheetData>
    <row r="1" spans="1:6" ht="21" customHeight="1">
      <c r="A1" s="912" t="s">
        <v>708</v>
      </c>
      <c r="B1" s="221"/>
      <c r="C1" s="221"/>
      <c r="D1" s="221"/>
      <c r="E1" s="221"/>
      <c r="F1" s="221"/>
    </row>
    <row r="2" spans="1:6" ht="16.5" customHeight="1">
      <c r="A2" s="225"/>
      <c r="B2" s="108"/>
      <c r="C2" s="108"/>
      <c r="D2" s="108"/>
      <c r="E2" s="108"/>
      <c r="F2" s="108"/>
    </row>
    <row r="3" spans="1:6" ht="17.25" customHeight="1">
      <c r="A3" s="226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ht="18" customHeight="1">
      <c r="A4" s="225"/>
      <c r="B4" s="324"/>
      <c r="C4" s="649"/>
      <c r="D4" s="649"/>
      <c r="E4" s="649"/>
      <c r="F4" s="649"/>
    </row>
    <row r="5" spans="1:6">
      <c r="A5" s="326" t="s">
        <v>24</v>
      </c>
      <c r="B5" s="223">
        <v>28381.3</v>
      </c>
      <c r="C5" s="457">
        <v>32107.21</v>
      </c>
      <c r="D5" s="457">
        <v>32891.56</v>
      </c>
      <c r="E5" s="457">
        <f>REVENUE!F8*0.02</f>
        <v>33713.840000000004</v>
      </c>
      <c r="F5" s="457">
        <f>REVENUE!G8*0.02</f>
        <v>43741.98</v>
      </c>
    </row>
    <row r="6" spans="1:6">
      <c r="A6" s="326" t="s">
        <v>605</v>
      </c>
      <c r="B6" s="223">
        <v>200</v>
      </c>
      <c r="C6" s="457">
        <v>200</v>
      </c>
      <c r="D6" s="457">
        <v>200</v>
      </c>
      <c r="E6" s="457">
        <v>50</v>
      </c>
      <c r="F6" s="457">
        <v>25</v>
      </c>
    </row>
    <row r="7" spans="1:6">
      <c r="A7" s="326" t="s">
        <v>49</v>
      </c>
      <c r="B7" s="59">
        <v>12000</v>
      </c>
      <c r="C7" s="458">
        <v>12000</v>
      </c>
      <c r="D7" s="458">
        <v>0</v>
      </c>
      <c r="E7" s="458"/>
      <c r="F7" s="458"/>
    </row>
    <row r="8" spans="1:6">
      <c r="A8" s="325"/>
      <c r="B8" s="59"/>
      <c r="C8" s="458"/>
      <c r="D8" s="458"/>
      <c r="E8" s="458"/>
      <c r="F8" s="458"/>
    </row>
    <row r="9" spans="1:6" ht="16.5">
      <c r="A9" s="641"/>
      <c r="B9" s="59"/>
      <c r="C9" s="458"/>
      <c r="D9" s="458"/>
      <c r="E9" s="458"/>
      <c r="F9" s="458"/>
    </row>
    <row r="10" spans="1:6" ht="16.5">
      <c r="A10" s="740"/>
      <c r="B10" s="332"/>
      <c r="C10" s="741"/>
      <c r="D10" s="741"/>
      <c r="E10" s="741"/>
      <c r="F10" s="741"/>
    </row>
    <row r="11" spans="1:6" ht="16.5">
      <c r="A11" s="648" t="s">
        <v>569</v>
      </c>
      <c r="B11" s="364">
        <v>3041.01</v>
      </c>
      <c r="C11" s="650">
        <v>7000</v>
      </c>
      <c r="D11" s="650"/>
      <c r="E11" s="650"/>
      <c r="F11" s="650"/>
    </row>
    <row r="12" spans="1:6" ht="16.5">
      <c r="A12" s="646" t="s">
        <v>182</v>
      </c>
      <c r="B12" s="647">
        <f>SUM(B4:B10)</f>
        <v>40581.300000000003</v>
      </c>
      <c r="C12" s="647">
        <f>SUM(C4:C10)</f>
        <v>44307.21</v>
      </c>
      <c r="D12" s="647">
        <f>SUM(D4:D11)</f>
        <v>33091.56</v>
      </c>
      <c r="E12" s="647">
        <f>SUM(E4:E10)</f>
        <v>33763.840000000004</v>
      </c>
      <c r="F12" s="647">
        <f>SUM(F4:F10)</f>
        <v>43766.98</v>
      </c>
    </row>
    <row r="13" spans="1:6" ht="16.5">
      <c r="A13" s="230"/>
      <c r="B13" s="121"/>
    </row>
    <row r="14" spans="1:6" ht="16.5">
      <c r="A14" s="121"/>
      <c r="B14" s="121"/>
    </row>
    <row r="15" spans="1:6" ht="16.5">
      <c r="A15" s="121"/>
      <c r="B15" s="121"/>
    </row>
    <row r="17" spans="1:1" ht="16.5">
      <c r="A17" s="387" t="s">
        <v>406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P54"/>
  <sheetViews>
    <sheetView workbookViewId="0"/>
  </sheetViews>
  <sheetFormatPr defaultRowHeight="18.75" customHeight="1"/>
  <cols>
    <col min="1" max="1" width="34.140625" style="3" customWidth="1"/>
    <col min="2" max="2" width="10.7109375" style="4" hidden="1" customWidth="1"/>
    <col min="3" max="6" width="10.7109375" style="1" customWidth="1"/>
    <col min="7" max="16384" width="9.140625" style="1"/>
  </cols>
  <sheetData>
    <row r="1" spans="1:16" s="2" customFormat="1" ht="24" customHeight="1">
      <c r="A1" s="314" t="s">
        <v>738</v>
      </c>
      <c r="B1" s="104"/>
      <c r="C1" s="101"/>
      <c r="D1" s="101"/>
      <c r="E1" s="101"/>
      <c r="F1" s="101"/>
      <c r="G1"/>
      <c r="H1"/>
      <c r="I1"/>
      <c r="J1"/>
      <c r="K1"/>
      <c r="L1"/>
      <c r="M1"/>
      <c r="N1"/>
      <c r="O1"/>
      <c r="P1"/>
    </row>
    <row r="2" spans="1:16" ht="18.75" customHeight="1">
      <c r="A2" s="54"/>
      <c r="B2" s="33"/>
      <c r="C2" s="54"/>
      <c r="D2" s="54"/>
      <c r="E2" s="54"/>
      <c r="F2" s="54"/>
      <c r="G2"/>
      <c r="H2"/>
      <c r="I2"/>
      <c r="J2"/>
      <c r="K2"/>
      <c r="L2"/>
      <c r="M2"/>
      <c r="N2"/>
      <c r="O2"/>
      <c r="P2"/>
    </row>
    <row r="3" spans="1:16" s="2" customFormat="1" ht="18.75" customHeight="1">
      <c r="A3" s="43" t="s">
        <v>152</v>
      </c>
      <c r="B3" s="119">
        <v>2010</v>
      </c>
      <c r="C3" s="119">
        <v>2012</v>
      </c>
      <c r="D3" s="119">
        <v>2013</v>
      </c>
      <c r="E3" s="119">
        <v>2014</v>
      </c>
      <c r="F3" s="119">
        <v>2015</v>
      </c>
      <c r="G3"/>
      <c r="H3"/>
      <c r="I3"/>
      <c r="J3"/>
      <c r="K3"/>
      <c r="L3"/>
      <c r="M3"/>
      <c r="N3"/>
      <c r="O3"/>
      <c r="P3"/>
    </row>
    <row r="4" spans="1:16" s="6" customFormat="1" ht="18.75" customHeight="1">
      <c r="A4" s="111"/>
      <c r="B4" s="400"/>
      <c r="C4" s="400"/>
      <c r="D4" s="400"/>
      <c r="E4" s="400"/>
      <c r="F4" s="400"/>
      <c r="G4"/>
      <c r="H4"/>
      <c r="I4"/>
      <c r="J4"/>
      <c r="K4"/>
      <c r="L4"/>
      <c r="M4"/>
      <c r="N4"/>
      <c r="O4"/>
      <c r="P4"/>
    </row>
    <row r="5" spans="1:16" s="2" customFormat="1" ht="24.95" customHeight="1">
      <c r="A5" s="57" t="s">
        <v>153</v>
      </c>
      <c r="B5" s="119"/>
      <c r="C5" s="119"/>
      <c r="D5" s="119"/>
      <c r="E5" s="119"/>
      <c r="F5" s="119"/>
      <c r="G5" s="489"/>
      <c r="H5"/>
      <c r="I5"/>
      <c r="J5"/>
      <c r="K5"/>
      <c r="L5"/>
      <c r="M5"/>
      <c r="N5"/>
      <c r="O5"/>
      <c r="P5"/>
    </row>
    <row r="6" spans="1:16" ht="24.95" customHeight="1" thickBot="1">
      <c r="A6" s="72" t="s">
        <v>609</v>
      </c>
      <c r="B6" s="401">
        <v>325</v>
      </c>
      <c r="C6" s="401">
        <v>311</v>
      </c>
      <c r="D6" s="401">
        <v>325</v>
      </c>
      <c r="E6" s="401">
        <v>1091</v>
      </c>
      <c r="F6" s="401">
        <f>286*4</f>
        <v>1144</v>
      </c>
      <c r="G6" s="488"/>
      <c r="H6"/>
      <c r="I6"/>
      <c r="J6"/>
      <c r="K6"/>
      <c r="L6"/>
      <c r="M6"/>
      <c r="N6"/>
      <c r="O6"/>
      <c r="P6"/>
    </row>
    <row r="7" spans="1:16" ht="24.95" customHeight="1">
      <c r="A7" s="404" t="s">
        <v>303</v>
      </c>
      <c r="B7" s="405">
        <v>3000</v>
      </c>
      <c r="C7" s="405">
        <v>2697</v>
      </c>
      <c r="D7" s="405">
        <v>3500</v>
      </c>
      <c r="E7" s="405">
        <v>3092</v>
      </c>
      <c r="F7" s="405">
        <f>757.5*4</f>
        <v>3030</v>
      </c>
      <c r="G7" s="488"/>
      <c r="H7"/>
      <c r="I7"/>
      <c r="J7"/>
      <c r="K7"/>
      <c r="L7"/>
      <c r="M7"/>
      <c r="N7"/>
      <c r="O7"/>
      <c r="P7"/>
    </row>
    <row r="8" spans="1:16" ht="24.95" customHeight="1" thickBot="1">
      <c r="A8" s="398" t="s">
        <v>304</v>
      </c>
      <c r="B8" s="402">
        <v>4000</v>
      </c>
      <c r="C8" s="402">
        <v>3545</v>
      </c>
      <c r="D8" s="402">
        <v>4000</v>
      </c>
      <c r="E8" s="402">
        <v>3939</v>
      </c>
      <c r="F8" s="402">
        <f>1070*4</f>
        <v>4280</v>
      </c>
      <c r="G8" s="488"/>
      <c r="H8"/>
      <c r="I8"/>
      <c r="J8"/>
      <c r="K8"/>
      <c r="L8"/>
      <c r="M8"/>
      <c r="N8"/>
      <c r="O8"/>
      <c r="P8"/>
    </row>
    <row r="9" spans="1:16" ht="24.95" customHeight="1">
      <c r="A9" s="404" t="s">
        <v>302</v>
      </c>
      <c r="B9" s="405">
        <v>2500</v>
      </c>
      <c r="C9" s="405">
        <v>1321</v>
      </c>
      <c r="D9" s="405">
        <v>1500</v>
      </c>
      <c r="E9" s="405">
        <v>1541</v>
      </c>
      <c r="F9" s="405">
        <f>592*4</f>
        <v>2368</v>
      </c>
      <c r="G9" s="488"/>
      <c r="H9"/>
      <c r="I9"/>
      <c r="J9"/>
      <c r="K9"/>
      <c r="L9"/>
      <c r="M9"/>
      <c r="N9"/>
      <c r="O9"/>
      <c r="P9"/>
    </row>
    <row r="10" spans="1:16" ht="24.95" customHeight="1" thickBot="1">
      <c r="A10" s="398" t="s">
        <v>301</v>
      </c>
      <c r="B10" s="402">
        <v>10000</v>
      </c>
      <c r="C10" s="402">
        <v>9734</v>
      </c>
      <c r="D10" s="402">
        <v>10500</v>
      </c>
      <c r="E10" s="402">
        <v>10728</v>
      </c>
      <c r="F10" s="402">
        <f>3385*4</f>
        <v>13540</v>
      </c>
      <c r="G10" s="488"/>
      <c r="H10"/>
      <c r="I10"/>
      <c r="J10"/>
      <c r="K10"/>
      <c r="L10"/>
      <c r="M10"/>
      <c r="N10"/>
      <c r="O10"/>
      <c r="P10"/>
    </row>
    <row r="11" spans="1:16" ht="24.95" customHeight="1">
      <c r="A11" s="404" t="s">
        <v>294</v>
      </c>
      <c r="B11" s="406">
        <v>4500</v>
      </c>
      <c r="C11" s="406">
        <v>4500</v>
      </c>
      <c r="D11" s="406">
        <v>5000</v>
      </c>
      <c r="E11" s="406">
        <v>4945</v>
      </c>
      <c r="F11" s="406">
        <f>1342*4</f>
        <v>5368</v>
      </c>
      <c r="G11" s="488"/>
      <c r="H11"/>
      <c r="I11"/>
      <c r="J11"/>
      <c r="K11"/>
      <c r="L11"/>
      <c r="M11"/>
      <c r="N11"/>
      <c r="O11"/>
      <c r="P11"/>
    </row>
    <row r="12" spans="1:16" ht="18.75" customHeight="1">
      <c r="A12" s="72" t="s">
        <v>610</v>
      </c>
      <c r="B12" s="284"/>
      <c r="C12" s="608"/>
      <c r="D12" s="608"/>
      <c r="E12" s="228">
        <v>34</v>
      </c>
      <c r="F12" s="228">
        <v>34</v>
      </c>
      <c r="G12"/>
      <c r="H12"/>
      <c r="I12"/>
      <c r="J12"/>
      <c r="K12"/>
      <c r="L12"/>
      <c r="M12"/>
      <c r="N12"/>
      <c r="O12"/>
      <c r="P12"/>
    </row>
    <row r="13" spans="1:16" ht="18.75" customHeight="1">
      <c r="A13" s="72"/>
      <c r="B13" s="284"/>
      <c r="C13" s="608"/>
      <c r="D13" s="608"/>
      <c r="E13" s="228"/>
      <c r="F13" s="228"/>
      <c r="G13"/>
      <c r="H13"/>
      <c r="I13"/>
      <c r="J13"/>
      <c r="K13"/>
      <c r="L13"/>
      <c r="M13"/>
      <c r="N13"/>
      <c r="O13"/>
      <c r="P13"/>
    </row>
    <row r="14" spans="1:16" ht="18.75" customHeight="1">
      <c r="A14" s="395"/>
      <c r="B14" s="284"/>
      <c r="C14" s="608"/>
      <c r="D14" s="608"/>
      <c r="E14" s="608"/>
      <c r="F14" s="608"/>
      <c r="G14"/>
      <c r="H14"/>
      <c r="I14"/>
      <c r="J14"/>
      <c r="K14"/>
      <c r="L14"/>
      <c r="M14"/>
      <c r="N14"/>
      <c r="O14"/>
      <c r="P14"/>
    </row>
    <row r="15" spans="1:16" ht="18.75" customHeight="1" thickBot="1">
      <c r="A15" s="395" t="s">
        <v>569</v>
      </c>
      <c r="B15" s="609">
        <f>-825-26</f>
        <v>-851</v>
      </c>
      <c r="C15" s="610"/>
      <c r="D15" s="610"/>
      <c r="E15" s="610"/>
      <c r="F15" s="610"/>
      <c r="G15"/>
      <c r="H15"/>
      <c r="I15"/>
      <c r="J15"/>
      <c r="K15"/>
      <c r="L15"/>
      <c r="M15"/>
      <c r="N15"/>
      <c r="O15"/>
      <c r="P15"/>
    </row>
    <row r="16" spans="1:16" ht="18.75" customHeight="1" thickTop="1">
      <c r="A16" s="123" t="s">
        <v>150</v>
      </c>
      <c r="B16" s="46">
        <f>SUM(B4:B15)</f>
        <v>23474</v>
      </c>
      <c r="C16" s="46">
        <f>SUM(C4:C15)</f>
        <v>22108</v>
      </c>
      <c r="D16" s="46">
        <f>SUM(D4:D15)</f>
        <v>24825</v>
      </c>
      <c r="E16" s="46">
        <f>SUM(E4:E15)</f>
        <v>25370</v>
      </c>
      <c r="F16" s="46">
        <f>SUM(F4:F15)</f>
        <v>29764</v>
      </c>
      <c r="G16"/>
      <c r="H16"/>
      <c r="I16"/>
      <c r="J16"/>
      <c r="K16"/>
      <c r="L16"/>
      <c r="M16"/>
      <c r="N16"/>
      <c r="O16"/>
      <c r="P16"/>
    </row>
    <row r="17" spans="1:16" ht="18.75" customHeight="1">
      <c r="A17" s="121"/>
      <c r="B17" s="121"/>
      <c r="C17" s="121"/>
      <c r="D17"/>
      <c r="E17" s="403"/>
      <c r="F17" s="403"/>
      <c r="G17"/>
      <c r="H17"/>
      <c r="I17"/>
      <c r="J17"/>
      <c r="K17"/>
      <c r="L17"/>
      <c r="M17"/>
      <c r="N17"/>
      <c r="O17"/>
      <c r="P17"/>
    </row>
    <row r="18" spans="1:16" ht="18.75" customHeight="1">
      <c r="A18" s="65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8.75" customHeight="1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8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8.75" customHeight="1">
      <c r="A24"/>
      <c r="B24"/>
      <c r="C24"/>
      <c r="D24"/>
      <c r="E24"/>
      <c r="F24"/>
    </row>
    <row r="25" spans="1:16" ht="18.75" customHeight="1">
      <c r="A25"/>
      <c r="B25"/>
      <c r="C25"/>
      <c r="D25"/>
      <c r="E25"/>
      <c r="F25"/>
    </row>
    <row r="26" spans="1:16" ht="18.75" customHeight="1">
      <c r="A26"/>
      <c r="B26"/>
      <c r="C26"/>
      <c r="D26"/>
      <c r="E26"/>
      <c r="F26"/>
    </row>
    <row r="27" spans="1:16" ht="18.75" customHeight="1">
      <c r="A27"/>
      <c r="B27"/>
      <c r="C27"/>
      <c r="D27"/>
      <c r="E27"/>
      <c r="F27"/>
    </row>
    <row r="28" spans="1:16" ht="18.75" customHeight="1">
      <c r="A28"/>
      <c r="B28"/>
      <c r="C28"/>
      <c r="D28"/>
      <c r="E28"/>
      <c r="F28"/>
    </row>
    <row r="29" spans="1:16" ht="18.75" customHeight="1">
      <c r="A29"/>
      <c r="B29"/>
      <c r="C29"/>
      <c r="D29"/>
      <c r="E29"/>
      <c r="F29"/>
    </row>
    <row r="30" spans="1:16" ht="18.75" customHeight="1">
      <c r="A30"/>
      <c r="B30"/>
      <c r="C30"/>
      <c r="D30"/>
      <c r="E30"/>
      <c r="F30"/>
    </row>
    <row r="31" spans="1:16" ht="18.75" customHeight="1">
      <c r="A31"/>
      <c r="B31"/>
      <c r="C31"/>
      <c r="D31"/>
      <c r="E31"/>
      <c r="F31"/>
    </row>
    <row r="32" spans="1:16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F29"/>
  <sheetViews>
    <sheetView workbookViewId="0"/>
  </sheetViews>
  <sheetFormatPr defaultRowHeight="18.75" customHeight="1"/>
  <cols>
    <col min="1" max="1" width="33.140625" style="14" customWidth="1"/>
    <col min="2" max="2" width="11.7109375" style="15" hidden="1" customWidth="1"/>
    <col min="3" max="6" width="11.7109375" style="106" customWidth="1"/>
    <col min="7" max="16384" width="9.140625" style="106"/>
  </cols>
  <sheetData>
    <row r="1" spans="1:6" s="213" customFormat="1" ht="18.75" customHeight="1">
      <c r="A1" s="251" t="s">
        <v>739</v>
      </c>
      <c r="B1" s="237"/>
      <c r="C1" s="251"/>
      <c r="D1" s="251"/>
      <c r="E1" s="251"/>
      <c r="F1" s="251"/>
    </row>
    <row r="2" spans="1:6" ht="18.75" customHeight="1">
      <c r="A2" s="43"/>
      <c r="B2" s="277"/>
      <c r="C2" s="43"/>
      <c r="D2" s="43"/>
      <c r="E2" s="43"/>
      <c r="F2" s="43"/>
    </row>
    <row r="3" spans="1:6" s="213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214" customFormat="1" ht="18.75" customHeight="1">
      <c r="A4" s="108"/>
      <c r="B4" s="127"/>
      <c r="C4" s="127"/>
      <c r="D4" s="127"/>
      <c r="E4" s="127"/>
      <c r="F4" s="127"/>
    </row>
    <row r="5" spans="1:6" s="213" customFormat="1" ht="18.75" customHeight="1">
      <c r="A5" s="69" t="s">
        <v>252</v>
      </c>
      <c r="B5" s="44">
        <v>500</v>
      </c>
      <c r="C5" s="44">
        <v>750</v>
      </c>
      <c r="D5" s="44">
        <v>1000</v>
      </c>
      <c r="E5" s="44">
        <v>1000</v>
      </c>
      <c r="F5" s="44">
        <v>500</v>
      </c>
    </row>
    <row r="6" spans="1:6" ht="18.75" customHeight="1">
      <c r="A6" s="77" t="s">
        <v>520</v>
      </c>
      <c r="B6" s="44">
        <v>15500</v>
      </c>
      <c r="C6" s="44">
        <v>12000</v>
      </c>
      <c r="D6" s="44">
        <v>12000</v>
      </c>
      <c r="E6" s="852">
        <v>12000</v>
      </c>
      <c r="F6" s="852">
        <v>15000</v>
      </c>
    </row>
    <row r="7" spans="1:6" ht="18.75" customHeight="1">
      <c r="A7" s="69" t="s">
        <v>253</v>
      </c>
      <c r="B7" s="44">
        <v>1000</v>
      </c>
      <c r="C7" s="44">
        <v>1200</v>
      </c>
      <c r="D7" s="44">
        <v>2000</v>
      </c>
      <c r="E7" s="44">
        <v>4000</v>
      </c>
      <c r="F7" s="923"/>
    </row>
    <row r="8" spans="1:6" ht="18.75" customHeight="1">
      <c r="A8" s="69" t="s">
        <v>450</v>
      </c>
      <c r="B8" s="44">
        <v>10000</v>
      </c>
      <c r="C8" s="44">
        <v>10000</v>
      </c>
      <c r="D8" s="44">
        <v>10000</v>
      </c>
      <c r="E8" s="44">
        <v>10000</v>
      </c>
      <c r="F8" s="44">
        <v>9000</v>
      </c>
    </row>
    <row r="9" spans="1:6" ht="18.75" customHeight="1">
      <c r="A9" s="69" t="s">
        <v>395</v>
      </c>
      <c r="B9" s="68">
        <v>20000</v>
      </c>
      <c r="C9" s="68">
        <v>19000</v>
      </c>
      <c r="D9" s="68">
        <v>16000</v>
      </c>
      <c r="E9" s="68">
        <f>1000*12</f>
        <v>12000</v>
      </c>
      <c r="F9" s="68">
        <f>1000*12</f>
        <v>12000</v>
      </c>
    </row>
    <row r="10" spans="1:6" ht="18.75" customHeight="1">
      <c r="A10" s="58"/>
      <c r="B10" s="284"/>
      <c r="C10" s="68"/>
      <c r="D10" s="68"/>
      <c r="E10" s="68"/>
      <c r="F10" s="68"/>
    </row>
    <row r="11" spans="1:6" ht="18.75" customHeight="1">
      <c r="A11" s="679"/>
      <c r="B11" s="284"/>
      <c r="C11" s="68"/>
      <c r="D11" s="68"/>
      <c r="E11" s="68"/>
      <c r="F11" s="68"/>
    </row>
    <row r="12" spans="1:6" ht="18.75" customHeight="1">
      <c r="A12" s="679"/>
      <c r="B12" s="68"/>
      <c r="C12" s="68"/>
      <c r="D12" s="68"/>
      <c r="E12" s="68"/>
      <c r="F12" s="68"/>
    </row>
    <row r="13" spans="1:6" ht="18.75" customHeight="1" thickBot="1">
      <c r="A13" s="679" t="s">
        <v>569</v>
      </c>
      <c r="B13" s="386">
        <v>-15000</v>
      </c>
      <c r="C13" s="386">
        <v>-3500</v>
      </c>
      <c r="D13" s="386"/>
      <c r="E13" s="386"/>
      <c r="F13" s="386"/>
    </row>
    <row r="14" spans="1:6" ht="18.75" customHeight="1" thickTop="1">
      <c r="A14" s="113" t="s">
        <v>150</v>
      </c>
      <c r="B14" s="286">
        <f>SUM(B4:B13)</f>
        <v>32000</v>
      </c>
      <c r="C14" s="286">
        <f>SUM(C4:C13)</f>
        <v>39450</v>
      </c>
      <c r="D14" s="286">
        <f>SUM(D4:D13)</f>
        <v>41000</v>
      </c>
      <c r="E14" s="286">
        <f>SUM(E4:E13)</f>
        <v>39000</v>
      </c>
      <c r="F14" s="286">
        <f>SUM(F4:F13)</f>
        <v>36500</v>
      </c>
    </row>
    <row r="15" spans="1:6" ht="18.75" customHeight="1">
      <c r="A15" s="121"/>
      <c r="B15" s="121"/>
      <c r="C15" s="27"/>
      <c r="D15" s="27"/>
    </row>
    <row r="16" spans="1:6" ht="18.75" customHeight="1">
      <c r="A16" s="217"/>
      <c r="B16" s="217"/>
    </row>
    <row r="17" spans="1:2" ht="18.75" customHeight="1">
      <c r="A17" s="217"/>
      <c r="B17" s="217"/>
    </row>
    <row r="18" spans="1:2" ht="18.75" customHeight="1">
      <c r="A18" s="217"/>
      <c r="B18" s="217"/>
    </row>
    <row r="19" spans="1:2" ht="18.75" customHeight="1">
      <c r="A19" s="217"/>
      <c r="B19" s="217"/>
    </row>
    <row r="20" spans="1:2" ht="18.75" customHeight="1">
      <c r="A20" s="217"/>
      <c r="B20" s="217"/>
    </row>
    <row r="21" spans="1:2" ht="18.75" customHeight="1">
      <c r="A21" s="217"/>
      <c r="B21" s="217"/>
    </row>
    <row r="22" spans="1:2" ht="18.75" customHeight="1">
      <c r="A22" s="217"/>
      <c r="B22" s="217"/>
    </row>
    <row r="23" spans="1:2" ht="18.75" customHeight="1">
      <c r="A23" s="217"/>
      <c r="B23" s="217"/>
    </row>
    <row r="24" spans="1:2" ht="18.75" customHeight="1">
      <c r="A24" s="217"/>
      <c r="B24" s="217"/>
    </row>
    <row r="25" spans="1:2" ht="18.75" customHeight="1">
      <c r="A25" s="217"/>
      <c r="B25" s="217"/>
    </row>
    <row r="26" spans="1:2" ht="18.75" customHeight="1">
      <c r="A26" s="217"/>
      <c r="B26" s="217"/>
    </row>
    <row r="27" spans="1:2" ht="18.75" customHeight="1">
      <c r="A27" s="217"/>
      <c r="B27" s="217"/>
    </row>
    <row r="28" spans="1:2" ht="18.75" customHeight="1">
      <c r="A28" s="217"/>
      <c r="B28" s="217"/>
    </row>
    <row r="29" spans="1:2" ht="18.75" customHeight="1">
      <c r="A29" s="217"/>
      <c r="B29" s="217"/>
    </row>
  </sheetData>
  <sortState ref="A6:E10">
    <sortCondition ref="A5"/>
  </sortState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1" style="14" customWidth="1"/>
    <col min="2" max="2" width="10.85546875" style="15" hidden="1" customWidth="1"/>
    <col min="3" max="6" width="10.85546875" style="106" customWidth="1"/>
    <col min="7" max="16384" width="9.140625" style="106"/>
  </cols>
  <sheetData>
    <row r="1" spans="1:6" s="213" customFormat="1" ht="18.75" customHeight="1">
      <c r="A1" s="251" t="s">
        <v>740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213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214" customFormat="1" ht="18.75" customHeight="1">
      <c r="A4" s="127"/>
      <c r="B4" s="111"/>
      <c r="C4" s="111"/>
      <c r="D4" s="111"/>
      <c r="E4" s="111"/>
      <c r="F4" s="111"/>
    </row>
    <row r="5" spans="1:6" s="214" customFormat="1" ht="18.75" customHeight="1">
      <c r="A5" s="69"/>
      <c r="B5" s="44"/>
      <c r="C5" s="44"/>
      <c r="D5" s="44"/>
      <c r="E5" s="44"/>
      <c r="F5" s="44"/>
    </row>
    <row r="6" spans="1:6" s="214" customFormat="1" ht="18.75" customHeight="1">
      <c r="A6" s="354" t="s">
        <v>298</v>
      </c>
      <c r="B6" s="44">
        <v>7500</v>
      </c>
      <c r="C6" s="44">
        <v>7600</v>
      </c>
      <c r="D6" s="44">
        <v>8000</v>
      </c>
      <c r="E6" s="44">
        <v>8000</v>
      </c>
      <c r="F6" s="44">
        <v>8000</v>
      </c>
    </row>
    <row r="7" spans="1:6" s="214" customFormat="1" ht="18.75" customHeight="1">
      <c r="A7" s="358" t="s">
        <v>671</v>
      </c>
      <c r="B7" s="44">
        <v>100</v>
      </c>
      <c r="C7" s="44">
        <v>100</v>
      </c>
      <c r="D7" s="44">
        <v>100</v>
      </c>
      <c r="E7" s="44">
        <v>125</v>
      </c>
      <c r="F7" s="44">
        <v>130</v>
      </c>
    </row>
    <row r="8" spans="1:6" ht="18.75" customHeight="1">
      <c r="A8" s="77"/>
      <c r="B8" s="44"/>
      <c r="C8" s="44"/>
      <c r="D8" s="44"/>
      <c r="E8" s="44"/>
      <c r="F8" s="44"/>
    </row>
    <row r="9" spans="1:6" ht="18.75" customHeight="1">
      <c r="A9" s="58"/>
      <c r="B9" s="681"/>
      <c r="C9" s="284"/>
      <c r="D9" s="284"/>
      <c r="E9" s="284"/>
      <c r="F9" s="284"/>
    </row>
    <row r="10" spans="1:6" ht="18.75" customHeight="1">
      <c r="A10" s="58"/>
      <c r="B10" s="682"/>
      <c r="C10" s="680"/>
      <c r="D10" s="680"/>
      <c r="E10" s="680"/>
      <c r="F10" s="680"/>
    </row>
    <row r="11" spans="1:6" ht="18.75" customHeight="1">
      <c r="A11" s="58"/>
      <c r="B11" s="682"/>
      <c r="C11" s="680"/>
      <c r="D11" s="680"/>
      <c r="E11" s="680"/>
      <c r="F11" s="680"/>
    </row>
    <row r="12" spans="1:6" ht="18.75" customHeight="1" thickBot="1">
      <c r="A12" s="58" t="s">
        <v>569</v>
      </c>
      <c r="B12" s="117">
        <v>-7600</v>
      </c>
      <c r="C12" s="117"/>
      <c r="D12" s="117"/>
      <c r="E12" s="117"/>
      <c r="F12" s="117"/>
    </row>
    <row r="13" spans="1:6" s="213" customFormat="1" ht="18.75" customHeight="1" thickTop="1">
      <c r="A13" s="113" t="s">
        <v>150</v>
      </c>
      <c r="B13" s="46">
        <f>SUM(B4:B12)</f>
        <v>0</v>
      </c>
      <c r="C13" s="46">
        <f>SUM(C4:C12)</f>
        <v>7700</v>
      </c>
      <c r="D13" s="46">
        <f>SUM(D4:D12)</f>
        <v>8100</v>
      </c>
      <c r="E13" s="46">
        <f>SUM(E4:E12)</f>
        <v>8125</v>
      </c>
      <c r="F13" s="46">
        <f>SUM(F4:F12)</f>
        <v>8130</v>
      </c>
    </row>
    <row r="14" spans="1:6" ht="18.75" customHeight="1">
      <c r="A14" s="107"/>
      <c r="B14" s="47"/>
      <c r="C14" s="27"/>
    </row>
    <row r="15" spans="1:6" ht="18.75" customHeight="1">
      <c r="A15" s="107"/>
      <c r="B15" s="47"/>
      <c r="C15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workbookViewId="0"/>
  </sheetViews>
  <sheetFormatPr defaultRowHeight="18.75" customHeight="1"/>
  <cols>
    <col min="1" max="1" width="41.7109375" style="107" customWidth="1"/>
    <col min="2" max="2" width="10.7109375" style="27" hidden="1" customWidth="1"/>
    <col min="3" max="4" width="10.7109375" style="27" customWidth="1"/>
    <col min="5" max="6" width="11.28515625" style="27" customWidth="1"/>
    <col min="7" max="7" width="10" style="27" bestFit="1" customWidth="1"/>
    <col min="8" max="16384" width="9.140625" style="27"/>
  </cols>
  <sheetData>
    <row r="1" spans="1:7" s="48" customFormat="1" ht="18.75" customHeight="1">
      <c r="A1" s="251" t="s">
        <v>741</v>
      </c>
      <c r="B1" s="237"/>
      <c r="C1" s="221"/>
      <c r="D1" s="221"/>
      <c r="E1" s="221"/>
      <c r="F1" s="221"/>
    </row>
    <row r="2" spans="1:7" ht="18.75" customHeight="1">
      <c r="A2" s="108"/>
      <c r="B2" s="51"/>
      <c r="C2" s="108"/>
      <c r="D2" s="108"/>
      <c r="E2" s="108"/>
      <c r="F2" s="108"/>
    </row>
    <row r="3" spans="1:7" s="48" customFormat="1" ht="16.5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7" s="48" customFormat="1" ht="16.5">
      <c r="A4" s="57" t="s">
        <v>127</v>
      </c>
      <c r="B4" s="44">
        <v>1200</v>
      </c>
      <c r="C4" s="44">
        <v>2220</v>
      </c>
      <c r="D4" s="44">
        <v>2250</v>
      </c>
      <c r="E4" s="852">
        <f>230*12</f>
        <v>2760</v>
      </c>
      <c r="F4" s="852">
        <f>265*12</f>
        <v>3180</v>
      </c>
    </row>
    <row r="5" spans="1:7" s="48" customFormat="1" ht="18.75" customHeight="1">
      <c r="A5" s="57" t="s">
        <v>615</v>
      </c>
      <c r="B5" s="44">
        <v>4200</v>
      </c>
      <c r="C5" s="44">
        <v>3920</v>
      </c>
      <c r="D5" s="44">
        <v>3000</v>
      </c>
      <c r="E5" s="852">
        <f>250*12</f>
        <v>3000</v>
      </c>
      <c r="F5" s="852">
        <f>230*12</f>
        <v>2760</v>
      </c>
      <c r="G5" s="27" t="s">
        <v>616</v>
      </c>
    </row>
    <row r="6" spans="1:7" ht="18.75" customHeight="1">
      <c r="A6" s="57" t="s">
        <v>360</v>
      </c>
      <c r="B6" s="44">
        <v>400</v>
      </c>
      <c r="C6" s="44">
        <v>200</v>
      </c>
      <c r="D6" s="44">
        <v>200</v>
      </c>
      <c r="E6" s="44">
        <v>200</v>
      </c>
      <c r="F6" s="44">
        <v>200</v>
      </c>
    </row>
    <row r="7" spans="1:7" s="48" customFormat="1" ht="18.75" customHeight="1">
      <c r="A7" s="57" t="s">
        <v>361</v>
      </c>
      <c r="B7" s="44">
        <v>4200</v>
      </c>
      <c r="C7" s="44">
        <v>3960</v>
      </c>
      <c r="D7" s="44">
        <v>4080</v>
      </c>
      <c r="E7" s="852">
        <f>45*8*12</f>
        <v>4320</v>
      </c>
      <c r="F7" s="852">
        <f>45*8*12</f>
        <v>4320</v>
      </c>
    </row>
    <row r="8" spans="1:7" ht="18.75" customHeight="1">
      <c r="A8" s="58"/>
      <c r="B8" s="284"/>
      <c r="C8" s="284"/>
      <c r="D8" s="284"/>
      <c r="E8" s="284"/>
      <c r="F8" s="284"/>
    </row>
    <row r="9" spans="1:7" ht="18.75" customHeight="1">
      <c r="A9" s="58"/>
      <c r="B9" s="284"/>
      <c r="C9" s="284"/>
      <c r="D9" s="284"/>
      <c r="E9" s="284"/>
      <c r="F9" s="284"/>
    </row>
    <row r="10" spans="1:7" ht="18.75" customHeight="1">
      <c r="A10" s="132"/>
      <c r="B10" s="284"/>
      <c r="C10" s="284"/>
      <c r="D10" s="284"/>
      <c r="E10" s="284"/>
      <c r="F10" s="284"/>
    </row>
    <row r="11" spans="1:7" ht="18.75" customHeight="1">
      <c r="A11" s="58" t="s">
        <v>569</v>
      </c>
      <c r="B11" s="68">
        <v>300</v>
      </c>
      <c r="C11" s="68"/>
      <c r="D11" s="68"/>
      <c r="E11" s="68"/>
      <c r="F11" s="68"/>
    </row>
    <row r="12" spans="1:7" ht="18.75" customHeight="1">
      <c r="A12" s="113" t="s">
        <v>150</v>
      </c>
      <c r="B12" s="133">
        <f>SUM(B4:B11)</f>
        <v>10300</v>
      </c>
      <c r="C12" s="133">
        <f>SUM(C4:C11)</f>
        <v>10300</v>
      </c>
      <c r="D12" s="133">
        <f>SUM(D4:D11)</f>
        <v>9530</v>
      </c>
      <c r="E12" s="133">
        <f>SUM(E4:E11)</f>
        <v>10280</v>
      </c>
      <c r="F12" s="133">
        <f>SUM(F4:F11)</f>
        <v>10460</v>
      </c>
    </row>
    <row r="14" spans="1:7" ht="18.75" customHeight="1">
      <c r="A14" s="17"/>
    </row>
  </sheetData>
  <sortState ref="A5:E7">
    <sortCondition ref="A5:A7"/>
  </sortState>
  <phoneticPr fontId="19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F25"/>
  <sheetViews>
    <sheetView zoomScaleNormal="100" workbookViewId="0"/>
  </sheetViews>
  <sheetFormatPr defaultRowHeight="18.75" customHeight="1"/>
  <cols>
    <col min="1" max="1" width="36.7109375" style="14" customWidth="1"/>
    <col min="2" max="2" width="12.28515625" style="15" hidden="1" customWidth="1"/>
    <col min="3" max="6" width="12.28515625" style="106" customWidth="1"/>
    <col min="7" max="16384" width="9.140625" style="106"/>
  </cols>
  <sheetData>
    <row r="1" spans="1:6" s="213" customFormat="1" ht="18.75" customHeight="1">
      <c r="A1" s="251" t="s">
        <v>742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213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213" customFormat="1" ht="18.75" customHeight="1">
      <c r="A4" s="77"/>
      <c r="B4" s="111"/>
      <c r="C4" s="111"/>
      <c r="D4" s="111"/>
      <c r="E4" s="111"/>
      <c r="F4" s="111"/>
    </row>
    <row r="5" spans="1:6" s="213" customFormat="1" ht="18.75" customHeight="1">
      <c r="A5" s="61" t="s">
        <v>521</v>
      </c>
      <c r="B5" s="223">
        <v>15000</v>
      </c>
      <c r="C5" s="223">
        <v>15600</v>
      </c>
      <c r="D5" s="223">
        <v>18720</v>
      </c>
      <c r="E5" s="266">
        <v>18720</v>
      </c>
      <c r="F5" s="266">
        <f>1200*12</f>
        <v>14400</v>
      </c>
    </row>
    <row r="6" spans="1:6" s="213" customFormat="1" ht="18.75" customHeight="1">
      <c r="A6" s="61" t="s">
        <v>524</v>
      </c>
      <c r="B6" s="223">
        <v>15000</v>
      </c>
      <c r="C6" s="223">
        <v>14400</v>
      </c>
      <c r="D6" s="223">
        <v>15600</v>
      </c>
      <c r="E6" s="266">
        <v>15600</v>
      </c>
      <c r="F6" s="266">
        <f>1300*12</f>
        <v>15600</v>
      </c>
    </row>
    <row r="7" spans="1:6" s="213" customFormat="1" ht="18.75" customHeight="1">
      <c r="A7" s="61" t="s">
        <v>752</v>
      </c>
      <c r="B7" s="223">
        <v>1500</v>
      </c>
      <c r="C7" s="223">
        <v>1750</v>
      </c>
      <c r="D7" s="223">
        <v>1920</v>
      </c>
      <c r="E7" s="266">
        <v>1940</v>
      </c>
      <c r="F7" s="266">
        <f>200*12</f>
        <v>2400</v>
      </c>
    </row>
    <row r="8" spans="1:6" s="213" customFormat="1" ht="18.75" customHeight="1">
      <c r="A8" s="61" t="s">
        <v>753</v>
      </c>
      <c r="B8" s="59">
        <v>4000</v>
      </c>
      <c r="C8" s="59">
        <v>6000</v>
      </c>
      <c r="D8" s="59">
        <v>5600</v>
      </c>
      <c r="E8" s="63">
        <v>5600</v>
      </c>
      <c r="F8" s="63">
        <f>600*12</f>
        <v>7200</v>
      </c>
    </row>
    <row r="9" spans="1:6" ht="18.75" customHeight="1">
      <c r="A9" s="269" t="s">
        <v>525</v>
      </c>
      <c r="B9" s="59">
        <v>5700</v>
      </c>
      <c r="C9" s="59">
        <v>6100</v>
      </c>
      <c r="D9" s="59">
        <v>6600</v>
      </c>
      <c r="E9" s="63">
        <v>6600</v>
      </c>
      <c r="F9" s="63">
        <f>(261*12)+(301*12)</f>
        <v>6744</v>
      </c>
    </row>
    <row r="10" spans="1:6" ht="18.75" customHeight="1">
      <c r="A10" s="61" t="s">
        <v>561</v>
      </c>
      <c r="B10" s="223">
        <v>3000</v>
      </c>
      <c r="C10" s="223">
        <v>4880</v>
      </c>
      <c r="D10" s="223">
        <v>2670</v>
      </c>
      <c r="E10" s="266">
        <v>2670</v>
      </c>
      <c r="F10" s="266">
        <f>250*12</f>
        <v>3000</v>
      </c>
    </row>
    <row r="11" spans="1:6" ht="18.75" customHeight="1">
      <c r="A11" s="61" t="s">
        <v>562</v>
      </c>
      <c r="B11" s="223"/>
      <c r="C11" s="223"/>
      <c r="D11" s="223">
        <v>2370</v>
      </c>
      <c r="E11" s="266">
        <v>2370</v>
      </c>
      <c r="F11" s="266">
        <f>240*12</f>
        <v>2880</v>
      </c>
    </row>
    <row r="12" spans="1:6" ht="18.75" customHeight="1">
      <c r="A12" s="61" t="s">
        <v>522</v>
      </c>
      <c r="B12" s="223">
        <v>8400</v>
      </c>
      <c r="C12" s="223">
        <v>8000</v>
      </c>
      <c r="D12" s="223">
        <v>8100</v>
      </c>
      <c r="E12" s="266">
        <v>8100</v>
      </c>
      <c r="F12" s="266">
        <f>675*12</f>
        <v>8100</v>
      </c>
    </row>
    <row r="13" spans="1:6" ht="18.75" customHeight="1">
      <c r="A13" s="61" t="s">
        <v>523</v>
      </c>
      <c r="B13" s="223">
        <v>8800</v>
      </c>
      <c r="C13" s="223">
        <v>10200</v>
      </c>
      <c r="D13" s="223">
        <v>12000</v>
      </c>
      <c r="E13" s="266">
        <v>10000</v>
      </c>
      <c r="F13" s="266">
        <f>1200*12</f>
        <v>14400</v>
      </c>
    </row>
    <row r="14" spans="1:6" ht="18.75" customHeight="1">
      <c r="A14" s="437"/>
      <c r="B14" s="332"/>
      <c r="C14" s="332"/>
      <c r="D14" s="332"/>
      <c r="E14" s="332"/>
      <c r="F14" s="332"/>
    </row>
    <row r="15" spans="1:6" ht="18.75" customHeight="1">
      <c r="A15" s="437"/>
      <c r="B15" s="332"/>
      <c r="C15" s="332"/>
      <c r="D15" s="332"/>
      <c r="E15" s="332"/>
      <c r="F15" s="332"/>
    </row>
    <row r="16" spans="1:6" ht="18.75" customHeight="1" thickBot="1">
      <c r="A16" s="379" t="s">
        <v>569</v>
      </c>
      <c r="B16" s="334">
        <v>3000</v>
      </c>
      <c r="C16" s="334"/>
      <c r="D16" s="334"/>
      <c r="E16" s="334"/>
      <c r="F16" s="334"/>
    </row>
    <row r="17" spans="1:6" s="213" customFormat="1" ht="18.75" customHeight="1" thickTop="1">
      <c r="A17" s="351" t="s">
        <v>150</v>
      </c>
      <c r="B17" s="236">
        <f>SUM(B4:B16)</f>
        <v>64400</v>
      </c>
      <c r="C17" s="236">
        <f>SUM(C4:C16)</f>
        <v>66930</v>
      </c>
      <c r="D17" s="236">
        <f>SUM(D4:D16)</f>
        <v>73580</v>
      </c>
      <c r="E17" s="236">
        <f>SUM(E4:E16)</f>
        <v>71600</v>
      </c>
      <c r="F17" s="236">
        <f>SUM(F4:F16)</f>
        <v>74724</v>
      </c>
    </row>
    <row r="18" spans="1:6" ht="18.75" customHeight="1">
      <c r="A18" s="17"/>
      <c r="B18" s="47"/>
      <c r="C18" s="27"/>
    </row>
    <row r="19" spans="1:6" ht="18.75" customHeight="1">
      <c r="A19" s="278"/>
    </row>
    <row r="20" spans="1:6" ht="18.75" customHeight="1">
      <c r="A20" s="234"/>
    </row>
    <row r="21" spans="1:6" ht="18.75" customHeight="1">
      <c r="A21" s="234"/>
    </row>
    <row r="22" spans="1:6" ht="18.75" customHeight="1">
      <c r="A22" s="234"/>
    </row>
    <row r="23" spans="1:6" ht="18.75" customHeight="1">
      <c r="A23" s="234"/>
    </row>
    <row r="24" spans="1:6" ht="18.75" customHeight="1">
      <c r="A24" s="234"/>
    </row>
    <row r="25" spans="1:6" ht="18.75" customHeight="1">
      <c r="A25" s="234"/>
    </row>
  </sheetData>
  <sortState ref="A5:E12">
    <sortCondition ref="A5"/>
  </sortState>
  <phoneticPr fontId="19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F20"/>
  <sheetViews>
    <sheetView workbookViewId="0"/>
  </sheetViews>
  <sheetFormatPr defaultRowHeight="18.75" customHeight="1"/>
  <cols>
    <col min="1" max="1" width="30.5703125" style="107" customWidth="1"/>
    <col min="2" max="2" width="12.42578125" style="47" hidden="1" customWidth="1"/>
    <col min="3" max="4" width="12.42578125" style="27" customWidth="1"/>
    <col min="5" max="6" width="11.7109375" style="27" customWidth="1"/>
    <col min="7" max="16384" width="9.140625" style="27"/>
  </cols>
  <sheetData>
    <row r="1" spans="1:6" s="48" customFormat="1" ht="18.75" customHeight="1">
      <c r="A1" s="251" t="s">
        <v>743</v>
      </c>
      <c r="B1" s="237"/>
      <c r="C1" s="237"/>
      <c r="D1" s="237"/>
      <c r="E1" s="237"/>
      <c r="F1" s="237"/>
    </row>
    <row r="2" spans="1:6" ht="18.75" customHeight="1">
      <c r="A2" s="108"/>
      <c r="B2" s="51"/>
      <c r="C2" s="51"/>
      <c r="D2" s="51"/>
      <c r="E2" s="51"/>
      <c r="F2" s="51"/>
    </row>
    <row r="3" spans="1:6" s="48" customFormat="1" ht="18.75" customHeight="1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134" customFormat="1" ht="18.75" customHeight="1">
      <c r="A4" s="324"/>
      <c r="B4" s="235"/>
      <c r="C4" s="235"/>
      <c r="D4" s="235"/>
      <c r="E4" s="235"/>
      <c r="F4" s="235"/>
    </row>
    <row r="5" spans="1:6" s="134" customFormat="1" ht="18.75" customHeight="1">
      <c r="A5" s="324"/>
      <c r="B5" s="235"/>
      <c r="C5" s="235"/>
      <c r="D5" s="235"/>
      <c r="E5" s="235"/>
      <c r="F5" s="235"/>
    </row>
    <row r="6" spans="1:6" s="134" customFormat="1" ht="18.75" customHeight="1">
      <c r="A6" s="324"/>
      <c r="B6" s="235"/>
      <c r="C6" s="235"/>
      <c r="D6" s="235"/>
      <c r="E6" s="235"/>
      <c r="F6" s="235"/>
    </row>
    <row r="7" spans="1:6" s="134" customFormat="1" ht="18.75" customHeight="1">
      <c r="A7" s="269" t="s">
        <v>248</v>
      </c>
      <c r="B7" s="235">
        <v>255362.5</v>
      </c>
      <c r="C7" s="235">
        <v>259712.5</v>
      </c>
      <c r="D7" s="235">
        <v>259032.5</v>
      </c>
      <c r="E7" s="235"/>
      <c r="F7" s="235"/>
    </row>
    <row r="8" spans="1:6" s="134" customFormat="1" ht="18.75" customHeight="1">
      <c r="A8" s="269" t="s">
        <v>249</v>
      </c>
      <c r="B8" s="235">
        <v>113247.5</v>
      </c>
      <c r="C8" s="235">
        <v>114047.5</v>
      </c>
      <c r="D8" s="235">
        <v>111447.5</v>
      </c>
      <c r="E8" s="235">
        <v>75600</v>
      </c>
      <c r="F8" s="235">
        <f>1400+70000+1400</f>
        <v>72800</v>
      </c>
    </row>
    <row r="9" spans="1:6" s="134" customFormat="1" ht="18.75" customHeight="1">
      <c r="A9" s="269" t="s">
        <v>617</v>
      </c>
      <c r="B9" s="380"/>
      <c r="C9" s="235"/>
      <c r="D9" s="235"/>
      <c r="E9" s="235">
        <v>271950</v>
      </c>
      <c r="F9" s="235">
        <f>36525+200000+36525</f>
        <v>273050</v>
      </c>
    </row>
    <row r="10" spans="1:6" s="134" customFormat="1" ht="18.75" customHeight="1">
      <c r="A10" s="269" t="s">
        <v>295</v>
      </c>
      <c r="B10" s="380"/>
      <c r="C10" s="235"/>
      <c r="D10" s="235"/>
      <c r="E10" s="235"/>
      <c r="F10" s="235"/>
    </row>
    <row r="11" spans="1:6" s="134" customFormat="1" ht="18.75" customHeight="1">
      <c r="A11" s="269" t="s">
        <v>399</v>
      </c>
      <c r="B11" s="235"/>
      <c r="C11" s="235"/>
      <c r="D11" s="235"/>
      <c r="E11" s="235"/>
      <c r="F11" s="235"/>
    </row>
    <row r="12" spans="1:6" s="48" customFormat="1" ht="18.75" customHeight="1">
      <c r="A12" s="61"/>
      <c r="B12" s="329"/>
      <c r="C12" s="329"/>
      <c r="D12" s="329"/>
      <c r="E12" s="329"/>
      <c r="F12" s="329"/>
    </row>
    <row r="13" spans="1:6" ht="18.75" customHeight="1" thickBot="1">
      <c r="A13" s="269"/>
      <c r="B13" s="331"/>
      <c r="C13" s="331"/>
      <c r="D13" s="331"/>
      <c r="E13" s="331"/>
      <c r="F13" s="331"/>
    </row>
    <row r="14" spans="1:6" s="48" customFormat="1" ht="18.75" customHeight="1" thickTop="1">
      <c r="A14" s="351" t="s">
        <v>150</v>
      </c>
      <c r="B14" s="376">
        <f>SUM(B4:B13)</f>
        <v>368610</v>
      </c>
      <c r="C14" s="376">
        <f>SUM(C4:C13)</f>
        <v>373760</v>
      </c>
      <c r="D14" s="376">
        <f>SUM(D4:D13)</f>
        <v>370480</v>
      </c>
      <c r="E14" s="376">
        <f>SUM(E4:E13)</f>
        <v>347550</v>
      </c>
      <c r="F14" s="376">
        <f>SUM(F4:F13)</f>
        <v>345850</v>
      </c>
    </row>
    <row r="15" spans="1:6" ht="18.75" customHeight="1">
      <c r="A15" s="312"/>
      <c r="B15" s="312"/>
      <c r="C15" s="312"/>
      <c r="D15" s="312"/>
    </row>
    <row r="16" spans="1:6" ht="18.75" customHeight="1">
      <c r="A16" s="17" t="s">
        <v>420</v>
      </c>
      <c r="B16" s="27"/>
    </row>
    <row r="17" spans="1:1" ht="18.75" customHeight="1">
      <c r="A17" s="17" t="s">
        <v>421</v>
      </c>
    </row>
    <row r="18" spans="1:1" ht="18.75" customHeight="1">
      <c r="A18" s="17"/>
    </row>
    <row r="19" spans="1:1" ht="18.75" customHeight="1">
      <c r="A19" s="17"/>
    </row>
    <row r="20" spans="1:1" ht="18.75" customHeight="1">
      <c r="A20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RowHeight="18.75" customHeight="1"/>
  <cols>
    <col min="1" max="1" width="44.85546875" style="107" customWidth="1"/>
    <col min="2" max="2" width="10.28515625" style="27" hidden="1" customWidth="1"/>
    <col min="3" max="6" width="10.28515625" style="27" customWidth="1"/>
    <col min="7" max="16384" width="9.140625" style="27"/>
  </cols>
  <sheetData>
    <row r="1" spans="1:6" s="48" customFormat="1" ht="18.75" customHeight="1">
      <c r="A1" s="251" t="s">
        <v>744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48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.75" customHeight="1">
      <c r="A4" s="324"/>
      <c r="B4" s="324"/>
      <c r="C4" s="324"/>
      <c r="D4" s="324"/>
      <c r="E4" s="324"/>
      <c r="F4" s="324"/>
    </row>
    <row r="5" spans="1:6" ht="18.75" customHeight="1">
      <c r="A5" s="69"/>
      <c r="B5" s="44">
        <v>2750</v>
      </c>
      <c r="C5" s="44"/>
      <c r="D5" s="44"/>
      <c r="E5" s="44"/>
      <c r="F5" s="44"/>
    </row>
    <row r="6" spans="1:6" ht="18.75" customHeight="1">
      <c r="A6" s="69" t="s">
        <v>632</v>
      </c>
      <c r="B6" s="44"/>
      <c r="C6" s="44">
        <v>3250</v>
      </c>
      <c r="D6" s="44">
        <v>3250</v>
      </c>
      <c r="E6" s="44">
        <f>5*50*14</f>
        <v>3500</v>
      </c>
      <c r="F6" s="44">
        <f>5*50*14</f>
        <v>3500</v>
      </c>
    </row>
    <row r="7" spans="1:6" ht="18.75" customHeight="1">
      <c r="A7" s="679"/>
      <c r="B7" s="211"/>
      <c r="C7" s="211"/>
      <c r="D7" s="211"/>
      <c r="E7" s="211"/>
      <c r="F7" s="211"/>
    </row>
    <row r="8" spans="1:6" ht="18.75" customHeight="1">
      <c r="A8" s="679"/>
      <c r="B8" s="211"/>
      <c r="C8" s="211"/>
      <c r="D8" s="211"/>
      <c r="E8" s="211"/>
      <c r="F8" s="211"/>
    </row>
    <row r="9" spans="1:6" ht="18.75" customHeight="1">
      <c r="A9" s="683"/>
      <c r="B9" s="44"/>
      <c r="C9" s="44"/>
      <c r="D9" s="44"/>
      <c r="E9" s="44"/>
      <c r="F9" s="44"/>
    </row>
    <row r="10" spans="1:6" ht="18.75" customHeight="1" thickBot="1">
      <c r="A10" s="679" t="s">
        <v>569</v>
      </c>
      <c r="B10" s="684">
        <v>-500</v>
      </c>
      <c r="C10" s="684"/>
      <c r="D10" s="684"/>
      <c r="E10" s="684"/>
      <c r="F10" s="684"/>
    </row>
    <row r="11" spans="1:6" s="48" customFormat="1" ht="18.75" customHeight="1" thickTop="1">
      <c r="A11" s="113" t="s">
        <v>150</v>
      </c>
      <c r="B11" s="46">
        <f>SUM(B4:B10)</f>
        <v>2250</v>
      </c>
      <c r="C11" s="46">
        <f>SUM(C4:C10)</f>
        <v>3250</v>
      </c>
      <c r="D11" s="46">
        <f>SUM(D4:D10)</f>
        <v>3250</v>
      </c>
      <c r="E11" s="46">
        <f>SUM(E4:E10)</f>
        <v>3500</v>
      </c>
      <c r="F11" s="46">
        <f>SUM(F4:F10)</f>
        <v>3500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8.75" customHeight="1"/>
  <cols>
    <col min="1" max="1" width="47.7109375" style="107" customWidth="1"/>
    <col min="2" max="2" width="10.7109375" style="27" hidden="1" customWidth="1"/>
    <col min="3" max="4" width="10.7109375" style="27" customWidth="1"/>
    <col min="5" max="6" width="10.140625" style="27" customWidth="1"/>
    <col min="7" max="16384" width="9.140625" style="27"/>
  </cols>
  <sheetData>
    <row r="1" spans="1:6" s="48" customFormat="1" ht="18.75" customHeight="1">
      <c r="A1" s="251" t="s">
        <v>28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48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.75" customHeight="1">
      <c r="A4" s="276"/>
      <c r="B4" s="276"/>
      <c r="C4" s="276"/>
      <c r="D4" s="276"/>
      <c r="E4" s="276"/>
      <c r="F4" s="276"/>
    </row>
    <row r="5" spans="1:6" ht="18.75" customHeight="1">
      <c r="A5" s="61" t="s">
        <v>607</v>
      </c>
      <c r="B5" s="223">
        <v>1765</v>
      </c>
      <c r="C5" s="223">
        <v>4335</v>
      </c>
      <c r="D5" s="223">
        <v>1550</v>
      </c>
      <c r="E5" s="223">
        <v>3000</v>
      </c>
      <c r="F5" s="223">
        <v>3000</v>
      </c>
    </row>
    <row r="6" spans="1:6" ht="18.75" customHeight="1">
      <c r="A6" s="61" t="s">
        <v>451</v>
      </c>
      <c r="B6" s="223">
        <v>2750</v>
      </c>
      <c r="C6" s="223">
        <v>2750</v>
      </c>
      <c r="D6" s="223"/>
      <c r="E6" s="223"/>
      <c r="F6" s="223"/>
    </row>
    <row r="7" spans="1:6" ht="18.75" customHeight="1">
      <c r="A7" s="61" t="s">
        <v>547</v>
      </c>
      <c r="B7" s="223"/>
      <c r="C7" s="223"/>
      <c r="D7" s="223">
        <v>2000</v>
      </c>
      <c r="E7" s="223">
        <v>4000</v>
      </c>
      <c r="F7" s="223">
        <v>4000</v>
      </c>
    </row>
    <row r="8" spans="1:6" ht="18.75" customHeight="1">
      <c r="A8" s="268"/>
      <c r="B8" s="223"/>
      <c r="C8" s="223"/>
      <c r="D8" s="223"/>
      <c r="E8" s="223"/>
      <c r="F8" s="223"/>
    </row>
    <row r="9" spans="1:6" ht="18.75" customHeight="1">
      <c r="A9" s="268"/>
      <c r="B9" s="223"/>
      <c r="C9" s="223"/>
      <c r="D9" s="223"/>
      <c r="E9" s="223"/>
      <c r="F9" s="223"/>
    </row>
    <row r="10" spans="1:6" ht="18.75" customHeight="1">
      <c r="A10" s="268"/>
      <c r="B10" s="223"/>
      <c r="C10" s="223"/>
      <c r="D10" s="223"/>
      <c r="E10" s="223"/>
      <c r="F10" s="223"/>
    </row>
    <row r="11" spans="1:6" ht="18.75" customHeight="1">
      <c r="A11" s="268"/>
      <c r="B11" s="239"/>
      <c r="C11" s="223"/>
      <c r="D11" s="223"/>
      <c r="E11" s="223"/>
      <c r="F11" s="223"/>
    </row>
    <row r="12" spans="1:6" ht="18.75" customHeight="1" thickBot="1">
      <c r="A12" s="268" t="s">
        <v>569</v>
      </c>
      <c r="B12" s="396">
        <f>-4305-210</f>
        <v>-4515</v>
      </c>
      <c r="C12" s="224">
        <v>-7085</v>
      </c>
      <c r="D12" s="224"/>
      <c r="E12" s="224"/>
      <c r="F12" s="224"/>
    </row>
    <row r="13" spans="1:6" s="48" customFormat="1" ht="18.75" customHeight="1">
      <c r="A13" s="381" t="s">
        <v>150</v>
      </c>
      <c r="B13" s="685">
        <f>SUM(B4:B12)</f>
        <v>0</v>
      </c>
      <c r="C13" s="685">
        <f t="shared" ref="C13:F13" si="0">SUM(C4:C12)</f>
        <v>0</v>
      </c>
      <c r="D13" s="685">
        <f t="shared" si="0"/>
        <v>3550</v>
      </c>
      <c r="E13" s="685">
        <f t="shared" si="0"/>
        <v>7000</v>
      </c>
      <c r="F13" s="685">
        <f t="shared" si="0"/>
        <v>7000</v>
      </c>
    </row>
  </sheetData>
  <phoneticPr fontId="19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3" sqref="F13"/>
    </sheetView>
  </sheetViews>
  <sheetFormatPr defaultRowHeight="18.75" customHeight="1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8" customFormat="1" ht="18.75" customHeight="1">
      <c r="A1" s="253" t="s">
        <v>31</v>
      </c>
      <c r="B1" s="237"/>
      <c r="C1" s="221"/>
      <c r="D1" s="221"/>
      <c r="E1" s="221"/>
      <c r="F1" s="221"/>
    </row>
    <row r="2" spans="1:6" ht="18.75" customHeight="1">
      <c r="A2" s="31"/>
      <c r="B2" s="23"/>
      <c r="C2" s="31"/>
      <c r="D2" s="31"/>
      <c r="E2" s="31"/>
      <c r="F2" s="31"/>
    </row>
    <row r="3" spans="1:6" s="2" customFormat="1" ht="18.75" customHeight="1">
      <c r="A3" s="43" t="s">
        <v>152</v>
      </c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</row>
    <row r="4" spans="1:6" s="6" customFormat="1" ht="9.75" customHeight="1">
      <c r="A4" s="127"/>
      <c r="B4" s="127"/>
      <c r="C4" s="127"/>
      <c r="D4" s="127"/>
      <c r="E4" s="127"/>
      <c r="F4" s="127"/>
    </row>
    <row r="5" spans="1:6" ht="18.75" customHeight="1">
      <c r="A5" s="687" t="s">
        <v>30</v>
      </c>
      <c r="B5" s="223"/>
      <c r="C5" s="223"/>
      <c r="D5" s="223"/>
      <c r="E5" s="223"/>
      <c r="F5" s="223"/>
    </row>
    <row r="6" spans="1:6" ht="18.75" customHeight="1">
      <c r="A6" s="269" t="s">
        <v>526</v>
      </c>
      <c r="B6" s="223">
        <v>42500</v>
      </c>
      <c r="C6" s="239"/>
      <c r="D6" s="239"/>
      <c r="E6" s="239"/>
      <c r="F6" s="239"/>
    </row>
    <row r="7" spans="1:6" ht="18.75" customHeight="1">
      <c r="A7" s="58"/>
      <c r="B7" s="239"/>
      <c r="C7" s="239"/>
      <c r="D7" s="239"/>
      <c r="E7" s="239"/>
      <c r="F7" s="239"/>
    </row>
    <row r="8" spans="1:6" ht="18.75" customHeight="1">
      <c r="A8" s="69" t="s">
        <v>452</v>
      </c>
      <c r="B8" s="223"/>
      <c r="C8" s="223">
        <v>50000</v>
      </c>
      <c r="D8" s="239"/>
      <c r="E8" s="239"/>
      <c r="F8" s="239"/>
    </row>
    <row r="9" spans="1:6" ht="18.75" customHeight="1">
      <c r="A9" s="58"/>
      <c r="B9" s="239"/>
      <c r="C9" s="239"/>
      <c r="D9" s="239"/>
      <c r="E9" s="239"/>
      <c r="F9" s="239"/>
    </row>
    <row r="10" spans="1:6" ht="18.75" customHeight="1">
      <c r="A10" s="69" t="s">
        <v>527</v>
      </c>
      <c r="B10" s="223"/>
      <c r="C10" s="223"/>
      <c r="D10" s="223">
        <v>56393.53</v>
      </c>
      <c r="E10" s="223"/>
      <c r="F10" s="223"/>
    </row>
    <row r="11" spans="1:6" ht="18.75" customHeight="1">
      <c r="A11" s="69"/>
      <c r="B11" s="223"/>
      <c r="C11" s="223"/>
      <c r="D11" s="223"/>
      <c r="E11" s="223"/>
      <c r="F11" s="223"/>
    </row>
    <row r="12" spans="1:6" ht="18.75" customHeight="1">
      <c r="A12" s="69"/>
      <c r="B12" s="223"/>
      <c r="C12" s="223"/>
      <c r="D12" s="223"/>
      <c r="E12" s="223"/>
      <c r="F12" s="223"/>
    </row>
    <row r="13" spans="1:6" ht="18.75" customHeight="1">
      <c r="A13" s="58" t="s">
        <v>569</v>
      </c>
      <c r="B13" s="224">
        <v>6000</v>
      </c>
      <c r="C13" s="224">
        <v>4751</v>
      </c>
      <c r="D13" s="224">
        <v>-50964.53</v>
      </c>
      <c r="E13" s="224"/>
      <c r="F13" s="224"/>
    </row>
    <row r="14" spans="1:6" s="2" customFormat="1" ht="18.75" customHeight="1">
      <c r="A14" s="256" t="s">
        <v>150</v>
      </c>
      <c r="B14" s="686">
        <f>SUM(B4:B13)</f>
        <v>48500</v>
      </c>
      <c r="C14" s="686">
        <f>SUM(C4:C13)</f>
        <v>54751</v>
      </c>
      <c r="D14" s="686">
        <f>SUM(D4:D13)</f>
        <v>5429</v>
      </c>
      <c r="E14" s="686">
        <f>SUM(E4:E13)</f>
        <v>0</v>
      </c>
      <c r="F14" s="686">
        <f>SUM(F4:F13)</f>
        <v>0</v>
      </c>
    </row>
    <row r="15" spans="1:6" ht="18.75" customHeight="1">
      <c r="C15"/>
      <c r="D15"/>
    </row>
  </sheetData>
  <phoneticPr fontId="19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8.75" customHeight="1"/>
  <cols>
    <col min="1" max="1" width="35.5703125" style="107" customWidth="1"/>
    <col min="2" max="2" width="11" style="47" hidden="1" customWidth="1"/>
    <col min="3" max="4" width="11" style="27" customWidth="1"/>
    <col min="5" max="6" width="10.28515625" style="27" customWidth="1"/>
    <col min="7" max="16384" width="9.140625" style="27"/>
  </cols>
  <sheetData>
    <row r="1" spans="1:6" s="48" customFormat="1" ht="18.75" customHeight="1">
      <c r="A1" s="251" t="s">
        <v>396</v>
      </c>
      <c r="B1" s="237"/>
      <c r="C1" s="237"/>
      <c r="D1" s="237"/>
      <c r="E1" s="237"/>
      <c r="F1" s="237"/>
    </row>
    <row r="2" spans="1:6" ht="18.75" customHeight="1">
      <c r="A2" s="108"/>
      <c r="B2" s="51"/>
      <c r="C2" s="51"/>
      <c r="D2" s="51"/>
      <c r="E2" s="51"/>
      <c r="F2" s="51"/>
    </row>
    <row r="3" spans="1:6" s="48" customFormat="1" ht="18.75" customHeight="1">
      <c r="A3" s="43" t="s">
        <v>152</v>
      </c>
      <c r="B3" s="109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 s="48" customFormat="1" ht="18.75" customHeight="1">
      <c r="A4" s="43"/>
      <c r="B4" s="139"/>
      <c r="C4" s="139"/>
      <c r="D4" s="139"/>
      <c r="E4" s="139"/>
      <c r="F4" s="139"/>
    </row>
    <row r="5" spans="1:6" s="48" customFormat="1" ht="21.95" customHeight="1">
      <c r="A5" s="69" t="s">
        <v>9</v>
      </c>
      <c r="B5" s="131">
        <v>200</v>
      </c>
      <c r="C5" s="131">
        <v>100</v>
      </c>
      <c r="D5" s="131">
        <v>100</v>
      </c>
      <c r="E5" s="131">
        <v>150</v>
      </c>
      <c r="F5" s="131">
        <v>150</v>
      </c>
    </row>
    <row r="6" spans="1:6" s="48" customFormat="1" ht="21.95" customHeight="1">
      <c r="A6" s="69" t="s">
        <v>608</v>
      </c>
      <c r="B6" s="131">
        <v>300</v>
      </c>
      <c r="C6" s="131">
        <v>200</v>
      </c>
      <c r="D6" s="131">
        <v>150</v>
      </c>
      <c r="E6" s="131">
        <v>150</v>
      </c>
      <c r="F6" s="131">
        <v>150</v>
      </c>
    </row>
    <row r="7" spans="1:6" s="48" customFormat="1" ht="21.95" customHeight="1">
      <c r="A7" s="69" t="s">
        <v>380</v>
      </c>
      <c r="B7" s="131">
        <v>1000</v>
      </c>
      <c r="C7" s="131">
        <v>300</v>
      </c>
      <c r="D7" s="131">
        <v>200</v>
      </c>
      <c r="E7" s="131">
        <v>200</v>
      </c>
      <c r="F7" s="972"/>
    </row>
    <row r="8" spans="1:6" s="48" customFormat="1" ht="21.95" customHeight="1">
      <c r="A8" s="69" t="s">
        <v>10</v>
      </c>
      <c r="B8" s="131">
        <v>125</v>
      </c>
      <c r="C8" s="131">
        <v>125</v>
      </c>
      <c r="D8" s="131">
        <v>125</v>
      </c>
      <c r="E8" s="131">
        <v>100</v>
      </c>
      <c r="F8" s="972"/>
    </row>
    <row r="9" spans="1:6" s="48" customFormat="1" ht="21.95" customHeight="1">
      <c r="A9" s="69" t="s">
        <v>618</v>
      </c>
      <c r="B9" s="56">
        <v>500</v>
      </c>
      <c r="C9" s="131">
        <v>200</v>
      </c>
      <c r="D9" s="131">
        <v>300</v>
      </c>
      <c r="E9" s="131">
        <v>300</v>
      </c>
      <c r="F9" s="972">
        <v>300</v>
      </c>
    </row>
    <row r="10" spans="1:6" s="48" customFormat="1" ht="21.95" customHeight="1">
      <c r="A10" s="69" t="s">
        <v>8</v>
      </c>
      <c r="B10" s="131">
        <v>300</v>
      </c>
      <c r="C10" s="56">
        <v>200</v>
      </c>
      <c r="D10" s="56">
        <v>200</v>
      </c>
      <c r="E10" s="56">
        <v>0</v>
      </c>
      <c r="F10" s="115">
        <v>0</v>
      </c>
    </row>
    <row r="11" spans="1:6" s="48" customFormat="1" ht="21.95" customHeight="1">
      <c r="A11" s="69" t="s">
        <v>7</v>
      </c>
      <c r="B11" s="131">
        <v>300</v>
      </c>
      <c r="C11" s="131">
        <v>200</v>
      </c>
      <c r="D11" s="131">
        <v>200</v>
      </c>
      <c r="E11" s="131">
        <v>0</v>
      </c>
      <c r="F11" s="972">
        <v>0</v>
      </c>
    </row>
    <row r="12" spans="1:6" s="48" customFormat="1" ht="21.95" customHeight="1">
      <c r="A12" s="69" t="s">
        <v>11</v>
      </c>
      <c r="B12" s="131">
        <v>200</v>
      </c>
      <c r="C12" s="131">
        <v>200</v>
      </c>
      <c r="D12" s="131">
        <v>150</v>
      </c>
      <c r="E12" s="131">
        <v>100</v>
      </c>
      <c r="F12" s="972"/>
    </row>
    <row r="13" spans="1:6" s="48" customFormat="1" ht="21.95" customHeight="1">
      <c r="A13" s="69" t="s">
        <v>679</v>
      </c>
      <c r="B13" s="907"/>
      <c r="C13" s="279"/>
      <c r="D13" s="279"/>
      <c r="E13" s="279"/>
      <c r="F13" s="973"/>
    </row>
    <row r="14" spans="1:6" ht="21.95" customHeight="1" thickBot="1">
      <c r="A14" s="108"/>
      <c r="B14" s="280"/>
      <c r="C14" s="281"/>
      <c r="D14" s="281"/>
      <c r="E14" s="281"/>
      <c r="F14" s="281"/>
    </row>
    <row r="15" spans="1:6" ht="21.95" customHeight="1" thickTop="1">
      <c r="A15" s="113" t="s">
        <v>150</v>
      </c>
      <c r="B15" s="99">
        <f>SUM(B4:B14)</f>
        <v>2925</v>
      </c>
      <c r="C15" s="99">
        <f>SUM(C4:C14)</f>
        <v>1525</v>
      </c>
      <c r="D15" s="99">
        <f>SUM(D4:D14)</f>
        <v>1425</v>
      </c>
      <c r="E15" s="99">
        <f>SUM(E4:E14)</f>
        <v>1000</v>
      </c>
      <c r="F15" s="99">
        <f>SUM(F4:F14)</f>
        <v>600</v>
      </c>
    </row>
    <row r="16" spans="1:6" ht="18.75" customHeight="1">
      <c r="A16" s="121"/>
      <c r="B16" s="121"/>
    </row>
    <row r="17" spans="1:2" ht="18.75" customHeight="1">
      <c r="A17" s="121"/>
      <c r="B17" s="121"/>
    </row>
    <row r="18" spans="1:2" ht="18.75" customHeight="1">
      <c r="A18" s="121"/>
      <c r="B18" s="121"/>
    </row>
    <row r="19" spans="1:2" ht="18.75" customHeight="1">
      <c r="A19" s="121"/>
      <c r="B19" s="121"/>
    </row>
    <row r="20" spans="1:2" ht="18.75" customHeight="1">
      <c r="A20" s="121"/>
      <c r="B20" s="121"/>
    </row>
    <row r="21" spans="1:2" ht="18.75" customHeight="1">
      <c r="A21" s="121"/>
      <c r="B21" s="121"/>
    </row>
    <row r="22" spans="1:2" ht="18.75" customHeight="1">
      <c r="A22" s="121"/>
      <c r="B22" s="121"/>
    </row>
    <row r="23" spans="1:2" ht="18.75" customHeight="1">
      <c r="A23" s="121"/>
      <c r="B23" s="121"/>
    </row>
    <row r="24" spans="1:2" ht="18.75" customHeight="1">
      <c r="A24" s="121"/>
      <c r="B24" s="121"/>
    </row>
    <row r="25" spans="1:2" ht="18.75" customHeight="1">
      <c r="A25" s="121"/>
      <c r="B25" s="121"/>
    </row>
    <row r="26" spans="1:2" ht="18.75" customHeight="1">
      <c r="A26" s="121"/>
      <c r="B26" s="121"/>
    </row>
    <row r="27" spans="1:2" ht="18.75" customHeight="1">
      <c r="A27" s="121"/>
      <c r="B27" s="121"/>
    </row>
    <row r="28" spans="1:2" ht="18.75" customHeight="1">
      <c r="A28" s="121"/>
      <c r="B28" s="121"/>
    </row>
    <row r="29" spans="1:2" ht="18.75" customHeight="1">
      <c r="A29" s="121"/>
      <c r="B29" s="121"/>
    </row>
    <row r="30" spans="1:2" ht="18.75" customHeight="1">
      <c r="A30" s="121"/>
      <c r="B30" s="121"/>
    </row>
    <row r="31" spans="1:2" ht="18.75" customHeight="1">
      <c r="A31" s="121"/>
      <c r="B31" s="121"/>
    </row>
  </sheetData>
  <sortState ref="A5:E13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workbookViewId="0"/>
  </sheetViews>
  <sheetFormatPr defaultRowHeight="18.75" customHeight="1"/>
  <cols>
    <col min="1" max="1" width="32.42578125" style="3" customWidth="1"/>
    <col min="2" max="2" width="10.7109375" style="1" hidden="1" customWidth="1"/>
    <col min="3" max="5" width="10.7109375" style="1" customWidth="1"/>
    <col min="6" max="6" width="11.42578125" style="1" customWidth="1"/>
    <col min="7" max="16384" width="9.140625" style="1"/>
  </cols>
  <sheetData>
    <row r="1" spans="1:6" s="2" customFormat="1" ht="18.75" customHeight="1">
      <c r="A1" s="914" t="s">
        <v>698</v>
      </c>
      <c r="B1" s="101"/>
      <c r="C1" s="101"/>
      <c r="D1" s="101"/>
      <c r="E1" s="101"/>
      <c r="F1" s="101"/>
    </row>
    <row r="2" spans="1:6" ht="18.75" customHeight="1">
      <c r="A2" s="73"/>
      <c r="B2" s="54"/>
      <c r="C2" s="54"/>
      <c r="D2" s="54"/>
      <c r="E2" s="54"/>
      <c r="F2" s="54"/>
    </row>
    <row r="3" spans="1:6" s="2" customFormat="1" ht="18.75" customHeight="1">
      <c r="A3" s="29" t="s">
        <v>152</v>
      </c>
      <c r="B3" s="32">
        <v>2010</v>
      </c>
      <c r="C3" s="32">
        <v>2012</v>
      </c>
      <c r="D3" s="32">
        <v>2013</v>
      </c>
      <c r="E3" s="32">
        <v>2014</v>
      </c>
      <c r="F3" s="32">
        <v>2015</v>
      </c>
    </row>
    <row r="4" spans="1:6" s="6" customFormat="1" ht="18.75" customHeight="1">
      <c r="A4" s="74"/>
      <c r="B4" s="75"/>
      <c r="C4" s="75"/>
      <c r="D4" s="75"/>
      <c r="E4" s="75"/>
      <c r="F4" s="75"/>
    </row>
    <row r="5" spans="1:6" ht="18.75" customHeight="1">
      <c r="A5" s="327" t="s">
        <v>408</v>
      </c>
      <c r="B5" s="44">
        <v>24000</v>
      </c>
      <c r="C5" s="44">
        <v>19120</v>
      </c>
      <c r="D5" s="44">
        <v>23253</v>
      </c>
      <c r="E5" s="852">
        <f>D5*1.05</f>
        <v>24415.65</v>
      </c>
      <c r="F5" s="852">
        <v>23800</v>
      </c>
    </row>
    <row r="6" spans="1:6" ht="18.75" customHeight="1">
      <c r="A6" s="327" t="s">
        <v>407</v>
      </c>
      <c r="B6" s="44"/>
      <c r="C6" s="44"/>
      <c r="D6" s="44"/>
      <c r="E6" s="44"/>
      <c r="F6" s="44"/>
    </row>
    <row r="7" spans="1:6" ht="18.75" customHeight="1">
      <c r="A7" s="76"/>
      <c r="B7" s="44"/>
      <c r="C7" s="44"/>
      <c r="D7" s="44"/>
      <c r="E7" s="44"/>
      <c r="F7" s="44"/>
    </row>
    <row r="8" spans="1:6" ht="18.75" customHeight="1">
      <c r="A8" s="388"/>
      <c r="B8" s="44"/>
      <c r="C8" s="44"/>
      <c r="D8" s="44"/>
      <c r="E8" s="44"/>
      <c r="F8" s="44"/>
    </row>
    <row r="9" spans="1:6" ht="18.75" customHeight="1">
      <c r="A9" s="76"/>
      <c r="B9" s="211"/>
      <c r="C9" s="44"/>
      <c r="D9" s="44"/>
      <c r="E9" s="44"/>
      <c r="F9" s="44"/>
    </row>
    <row r="10" spans="1:6" ht="18.75" customHeight="1" thickBot="1">
      <c r="A10" s="76" t="s">
        <v>569</v>
      </c>
      <c r="B10" s="399">
        <v>-5480</v>
      </c>
      <c r="C10" s="45"/>
      <c r="D10" s="45"/>
      <c r="E10" s="45"/>
      <c r="F10" s="45"/>
    </row>
    <row r="11" spans="1:6" s="2" customFormat="1" ht="18.75" customHeight="1" thickTop="1">
      <c r="A11" s="215" t="s">
        <v>150</v>
      </c>
      <c r="B11" s="46">
        <f>SUM(B4:B10)</f>
        <v>18520</v>
      </c>
      <c r="C11" s="46">
        <f>SUM(C4:C10)</f>
        <v>19120</v>
      </c>
      <c r="D11" s="46">
        <f>SUM(D4:D10)</f>
        <v>23253</v>
      </c>
      <c r="E11" s="46">
        <f>SUM(E4:E10)</f>
        <v>24415.65</v>
      </c>
      <c r="F11" s="46">
        <f>SUM(F4:F10)</f>
        <v>23800</v>
      </c>
    </row>
    <row r="12" spans="1:6" ht="18.75" customHeight="1">
      <c r="A12" s="24"/>
      <c r="B12" s="26"/>
      <c r="C12" s="26"/>
    </row>
    <row r="13" spans="1:6" ht="18.75" customHeight="1">
      <c r="A13" s="315"/>
      <c r="B13" s="26"/>
      <c r="C13" s="26"/>
    </row>
    <row r="14" spans="1:6" ht="18.75" customHeight="1">
      <c r="A14" s="274"/>
      <c r="B14" s="26"/>
      <c r="C14" s="26"/>
    </row>
    <row r="15" spans="1:6" ht="18.75" customHeight="1">
      <c r="A15" s="274"/>
      <c r="B15" s="26"/>
      <c r="C15" s="26"/>
    </row>
    <row r="16" spans="1:6" ht="18.75" customHeight="1">
      <c r="A16" s="105"/>
      <c r="B16" s="26"/>
    </row>
    <row r="17" spans="1:6" ht="18.75" customHeight="1">
      <c r="A17" s="105"/>
      <c r="B17" s="26"/>
    </row>
    <row r="18" spans="1:6" ht="18.75" customHeight="1">
      <c r="A18" s="105"/>
    </row>
    <row r="19" spans="1:6" ht="18.75" customHeight="1">
      <c r="A19" s="17"/>
    </row>
    <row r="20" spans="1:6" ht="18.75" customHeight="1">
      <c r="B20" s="27"/>
      <c r="C20" s="27"/>
      <c r="D20" s="27"/>
      <c r="E20" s="27"/>
      <c r="F20" s="27"/>
    </row>
    <row r="21" spans="1:6" ht="18.75" customHeight="1">
      <c r="A21" s="17"/>
      <c r="B21" s="27"/>
      <c r="C21" s="27"/>
      <c r="D21" s="27"/>
      <c r="E21" s="27"/>
      <c r="F21" s="27"/>
    </row>
    <row r="22" spans="1:6" ht="18.75" customHeight="1">
      <c r="A22" s="17"/>
      <c r="B22" s="27"/>
      <c r="C22" s="27"/>
      <c r="D22" s="27"/>
      <c r="E22" s="27"/>
      <c r="F22" s="27"/>
    </row>
    <row r="23" spans="1:6" ht="18.75" customHeight="1">
      <c r="A23" s="17"/>
      <c r="B23" s="27"/>
      <c r="C23" s="27"/>
      <c r="D23" s="27"/>
      <c r="E23" s="27"/>
      <c r="F23" s="27"/>
    </row>
    <row r="24" spans="1:6" ht="18.75" customHeight="1">
      <c r="A24" s="17"/>
      <c r="B24" s="27"/>
      <c r="C24" s="27"/>
      <c r="D24" s="27"/>
      <c r="E24" s="27"/>
      <c r="F24" s="27"/>
    </row>
    <row r="25" spans="1:6" ht="18.75" customHeight="1">
      <c r="A25" s="17"/>
      <c r="B25" s="27"/>
      <c r="C25" s="27"/>
      <c r="D25" s="27"/>
      <c r="E25" s="27"/>
      <c r="F25" s="27"/>
    </row>
    <row r="26" spans="1:6" ht="18.75" customHeight="1">
      <c r="A26" s="17"/>
      <c r="B26" s="27"/>
      <c r="C26" s="27"/>
      <c r="D26" s="27"/>
      <c r="E26" s="27"/>
      <c r="F26" s="27"/>
    </row>
    <row r="27" spans="1:6" ht="18.75" customHeight="1">
      <c r="A27" s="17"/>
      <c r="B27" s="27"/>
      <c r="C27" s="27"/>
      <c r="D27" s="27"/>
      <c r="E27" s="27"/>
      <c r="F27" s="27"/>
    </row>
    <row r="28" spans="1:6" ht="18.75" customHeight="1">
      <c r="A28" s="17"/>
      <c r="B28" s="27"/>
      <c r="C28" s="27"/>
      <c r="D28" s="27"/>
      <c r="E28" s="27"/>
      <c r="F28" s="27"/>
    </row>
    <row r="29" spans="1:6" ht="18.75" customHeight="1">
      <c r="A29" s="17"/>
      <c r="B29" s="27"/>
      <c r="C29" s="27"/>
      <c r="D29" s="27"/>
      <c r="E29" s="27"/>
      <c r="F29" s="27"/>
    </row>
    <row r="30" spans="1:6" ht="18.75" customHeight="1">
      <c r="A30" s="17"/>
      <c r="B30" s="27"/>
      <c r="C30" s="27"/>
      <c r="D30" s="27"/>
      <c r="E30" s="27"/>
      <c r="F30" s="27"/>
    </row>
    <row r="31" spans="1:6" ht="18.75" customHeight="1">
      <c r="A31" s="17"/>
      <c r="B31" s="27"/>
      <c r="C31" s="27"/>
      <c r="D31" s="27"/>
      <c r="E31" s="27"/>
      <c r="F31" s="27"/>
    </row>
    <row r="32" spans="1:6" ht="18.75" customHeight="1">
      <c r="A32" s="17"/>
      <c r="B32" s="27"/>
      <c r="C32" s="27"/>
      <c r="D32" s="27"/>
      <c r="E32" s="27"/>
      <c r="F32" s="27"/>
    </row>
    <row r="33" spans="1:6" ht="18.75" customHeight="1">
      <c r="A33" s="17"/>
      <c r="B33" s="27"/>
      <c r="C33" s="27"/>
      <c r="D33" s="27"/>
      <c r="E33" s="27"/>
      <c r="F33" s="27"/>
    </row>
    <row r="34" spans="1:6" ht="18.75" customHeight="1">
      <c r="A34" s="17"/>
      <c r="B34" s="27"/>
      <c r="C34" s="27"/>
      <c r="D34" s="27"/>
      <c r="E34" s="27"/>
      <c r="F34" s="27"/>
    </row>
    <row r="35" spans="1:6" ht="18.75" customHeight="1">
      <c r="A35" s="107"/>
      <c r="B35" s="27"/>
      <c r="C35" s="27"/>
      <c r="D35" s="27"/>
      <c r="E35" s="27"/>
      <c r="F35" s="27"/>
    </row>
    <row r="36" spans="1:6" ht="18.75" customHeight="1">
      <c r="A36" s="107"/>
      <c r="B36" s="27"/>
      <c r="C36" s="27"/>
      <c r="D36" s="27"/>
      <c r="E36" s="27"/>
      <c r="F36" s="2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F30"/>
  <sheetViews>
    <sheetView workbookViewId="0"/>
  </sheetViews>
  <sheetFormatPr defaultRowHeight="18.75" customHeight="1"/>
  <cols>
    <col min="1" max="1" width="34.85546875" style="107" customWidth="1"/>
    <col min="2" max="2" width="10.7109375" style="27" hidden="1" customWidth="1"/>
    <col min="3" max="6" width="10.7109375" style="27" customWidth="1"/>
    <col min="7" max="16384" width="9.140625" style="27"/>
  </cols>
  <sheetData>
    <row r="1" spans="1:6" s="48" customFormat="1" ht="18.75" customHeight="1">
      <c r="A1" s="251" t="s">
        <v>745</v>
      </c>
      <c r="B1" s="237"/>
      <c r="C1" s="221"/>
      <c r="D1" s="221"/>
      <c r="E1" s="221"/>
      <c r="F1" s="221"/>
    </row>
    <row r="2" spans="1:6" ht="18.75" customHeight="1">
      <c r="A2" s="108"/>
      <c r="B2" s="51"/>
      <c r="C2" s="108"/>
      <c r="D2" s="108"/>
      <c r="E2" s="108"/>
      <c r="F2" s="108"/>
    </row>
    <row r="3" spans="1:6" s="48" customFormat="1" ht="18.75" customHeight="1">
      <c r="A3" s="43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.75" customHeight="1">
      <c r="A4" s="688"/>
      <c r="B4" s="285"/>
      <c r="C4" s="285"/>
      <c r="D4" s="285"/>
      <c r="E4" s="285"/>
      <c r="F4" s="285"/>
    </row>
    <row r="5" spans="1:6" s="48" customFormat="1" ht="18.75" customHeight="1">
      <c r="A5" s="69" t="s">
        <v>362</v>
      </c>
      <c r="B5" s="68">
        <v>400</v>
      </c>
      <c r="C5" s="68">
        <v>400</v>
      </c>
      <c r="D5" s="68"/>
      <c r="E5" s="68"/>
      <c r="F5" s="68"/>
    </row>
    <row r="6" spans="1:6" ht="18.75" customHeight="1">
      <c r="A6" s="69" t="s">
        <v>619</v>
      </c>
      <c r="B6" s="68">
        <v>400</v>
      </c>
      <c r="C6" s="68">
        <v>400</v>
      </c>
      <c r="D6" s="68"/>
      <c r="E6" s="228">
        <v>1700</v>
      </c>
      <c r="F6" s="228">
        <v>4400</v>
      </c>
    </row>
    <row r="7" spans="1:6" s="48" customFormat="1" ht="18.75" customHeight="1">
      <c r="A7" s="69" t="s">
        <v>218</v>
      </c>
      <c r="B7" s="44">
        <v>600</v>
      </c>
      <c r="C7" s="44">
        <v>350</v>
      </c>
      <c r="D7" s="44">
        <v>400</v>
      </c>
      <c r="E7" s="44">
        <v>500</v>
      </c>
      <c r="F7" s="44">
        <v>500</v>
      </c>
    </row>
    <row r="8" spans="1:6" ht="16.5" customHeight="1">
      <c r="A8" s="69" t="s">
        <v>754</v>
      </c>
      <c r="B8" s="44">
        <v>1000</v>
      </c>
      <c r="C8" s="44">
        <v>600</v>
      </c>
      <c r="D8" s="44">
        <v>500</v>
      </c>
      <c r="E8" s="44">
        <v>600</v>
      </c>
      <c r="F8" s="44">
        <v>600</v>
      </c>
    </row>
    <row r="9" spans="1:6" ht="16.5" customHeight="1">
      <c r="A9" s="69" t="s">
        <v>128</v>
      </c>
      <c r="B9" s="44"/>
      <c r="C9" s="44">
        <v>100</v>
      </c>
      <c r="D9" s="44">
        <v>100</v>
      </c>
      <c r="E9" s="44">
        <v>100</v>
      </c>
      <c r="F9" s="44">
        <v>100</v>
      </c>
    </row>
    <row r="10" spans="1:6" ht="20.25" customHeight="1">
      <c r="A10" s="58"/>
      <c r="B10" s="284"/>
      <c r="C10" s="284"/>
      <c r="D10" s="284"/>
      <c r="E10" s="284"/>
      <c r="F10" s="284"/>
    </row>
    <row r="11" spans="1:6" ht="16.5" customHeight="1">
      <c r="A11" s="58"/>
      <c r="B11" s="680"/>
      <c r="C11" s="680"/>
      <c r="D11" s="680"/>
      <c r="E11" s="680"/>
      <c r="F11" s="680"/>
    </row>
    <row r="12" spans="1:6" ht="16.5" customHeight="1">
      <c r="A12" s="69"/>
      <c r="B12" s="117"/>
      <c r="C12" s="117"/>
      <c r="D12" s="117"/>
      <c r="E12" s="117"/>
      <c r="F12" s="117"/>
    </row>
    <row r="13" spans="1:6" ht="16.5" customHeight="1">
      <c r="A13" s="58" t="s">
        <v>569</v>
      </c>
      <c r="B13" s="117">
        <v>-1000</v>
      </c>
      <c r="C13" s="117"/>
      <c r="D13" s="117"/>
      <c r="E13" s="117"/>
      <c r="F13" s="117"/>
    </row>
    <row r="14" spans="1:6" ht="18.75" customHeight="1">
      <c r="A14" s="256" t="s">
        <v>150</v>
      </c>
      <c r="B14" s="689">
        <f>SUM(B5:B13)</f>
        <v>1400</v>
      </c>
      <c r="C14" s="689">
        <f>SUM(C5:C13)</f>
        <v>1850</v>
      </c>
      <c r="D14" s="689">
        <f>SUM(D5:D13)</f>
        <v>1000</v>
      </c>
      <c r="E14" s="689">
        <f>SUM(E5:E13)</f>
        <v>2900</v>
      </c>
      <c r="F14" s="689">
        <f>SUM(F5:F13)</f>
        <v>5600</v>
      </c>
    </row>
    <row r="15" spans="1:6" ht="18.75" customHeight="1">
      <c r="A15" s="27"/>
      <c r="B15" s="121"/>
      <c r="C15" s="121"/>
      <c r="D15" s="121"/>
    </row>
    <row r="16" spans="1:6" ht="18.75" customHeight="1">
      <c r="A16" s="27"/>
      <c r="B16" s="121"/>
    </row>
    <row r="17" spans="1:2" ht="18.75" customHeight="1">
      <c r="A17" s="27"/>
      <c r="B17" s="121"/>
    </row>
    <row r="18" spans="1:2" ht="18.75" customHeight="1">
      <c r="A18" s="121"/>
    </row>
    <row r="19" spans="1:2" ht="18.75" customHeight="1">
      <c r="A19" s="121"/>
    </row>
    <row r="20" spans="1:2" ht="18.75" customHeight="1">
      <c r="A20" s="121"/>
    </row>
    <row r="21" spans="1:2" ht="18.75" customHeight="1">
      <c r="A21" s="121"/>
    </row>
    <row r="22" spans="1:2" ht="18.75" customHeight="1">
      <c r="A22" s="121"/>
    </row>
    <row r="23" spans="1:2" ht="18.75" customHeight="1">
      <c r="A23" s="121"/>
    </row>
    <row r="24" spans="1:2" ht="18.75" customHeight="1">
      <c r="A24" s="121"/>
    </row>
    <row r="25" spans="1:2" ht="18.75" customHeight="1">
      <c r="A25" s="121"/>
    </row>
    <row r="26" spans="1:2" ht="18.75" customHeight="1">
      <c r="A26" s="121"/>
    </row>
    <row r="27" spans="1:2" ht="18.75" customHeight="1">
      <c r="A27" s="121"/>
    </row>
    <row r="28" spans="1:2" ht="18.75" customHeight="1">
      <c r="A28" s="121"/>
    </row>
    <row r="29" spans="1:2" ht="18.75" customHeight="1">
      <c r="A29" s="121"/>
    </row>
    <row r="30" spans="1:2" ht="18.75" customHeight="1">
      <c r="A30" s="121"/>
    </row>
  </sheetData>
  <sortState ref="A5:E10">
    <sortCondition ref="A5"/>
  </sortState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/>
  <cols>
    <col min="1" max="1" width="29.85546875" style="66" customWidth="1"/>
    <col min="2" max="2" width="9.28515625" style="26" hidden="1" customWidth="1"/>
    <col min="3" max="3" width="9.28515625" style="26" customWidth="1"/>
    <col min="4" max="6" width="9.140625" style="26"/>
    <col min="7" max="7" width="9.7109375" style="26" customWidth="1"/>
    <col min="8" max="8" width="11.28515625" style="26" bestFit="1" customWidth="1"/>
    <col min="9" max="16384" width="9.140625" style="26"/>
  </cols>
  <sheetData>
    <row r="1" spans="1:8" s="103" customFormat="1" ht="18.75" customHeight="1">
      <c r="A1" s="913" t="s">
        <v>231</v>
      </c>
      <c r="B1" s="244"/>
      <c r="C1" s="244"/>
      <c r="D1" s="101"/>
      <c r="E1" s="840"/>
      <c r="F1" s="244"/>
      <c r="G1" s="245"/>
    </row>
    <row r="2" spans="1:8" ht="18.75" customHeight="1">
      <c r="A2" s="137"/>
      <c r="B2" s="73"/>
      <c r="C2" s="73"/>
      <c r="D2" s="54"/>
      <c r="E2" s="841"/>
      <c r="F2" s="73"/>
      <c r="G2" s="246"/>
    </row>
    <row r="3" spans="1:8" s="103" customFormat="1" ht="18.75" customHeight="1">
      <c r="A3" s="37" t="s">
        <v>152</v>
      </c>
      <c r="B3" s="32">
        <v>2010</v>
      </c>
      <c r="C3" s="32">
        <v>2012</v>
      </c>
      <c r="D3" s="842">
        <v>2013</v>
      </c>
      <c r="E3" s="842">
        <v>2014</v>
      </c>
      <c r="F3" s="929">
        <v>2015</v>
      </c>
      <c r="G3" s="930"/>
    </row>
    <row r="4" spans="1:8" s="103" customFormat="1" ht="18.75" customHeight="1">
      <c r="A4" s="142"/>
      <c r="B4" s="54"/>
      <c r="C4" s="54"/>
      <c r="D4" s="841"/>
      <c r="E4" s="841"/>
      <c r="F4" s="73"/>
      <c r="G4" s="246"/>
    </row>
    <row r="5" spans="1:8" s="103" customFormat="1" ht="32.25" customHeight="1">
      <c r="A5" s="37"/>
      <c r="B5" s="516" t="s">
        <v>397</v>
      </c>
      <c r="C5" s="516" t="s">
        <v>397</v>
      </c>
      <c r="D5" s="843" t="s">
        <v>397</v>
      </c>
      <c r="E5" s="843" t="s">
        <v>397</v>
      </c>
      <c r="F5" s="519" t="s">
        <v>238</v>
      </c>
      <c r="G5" s="389" t="s">
        <v>239</v>
      </c>
    </row>
    <row r="6" spans="1:8" s="103" customFormat="1" ht="18.75" customHeight="1">
      <c r="A6" s="38"/>
      <c r="B6" s="223"/>
      <c r="C6" s="223"/>
      <c r="D6" s="844"/>
      <c r="E6" s="844"/>
      <c r="F6" s="41"/>
      <c r="G6" s="390"/>
    </row>
    <row r="7" spans="1:8" s="103" customFormat="1" ht="18.75" customHeight="1">
      <c r="A7" s="40"/>
      <c r="B7" s="223"/>
      <c r="C7" s="223"/>
      <c r="D7" s="844"/>
      <c r="E7" s="844"/>
      <c r="F7" s="41"/>
      <c r="G7" s="390"/>
    </row>
    <row r="8" spans="1:8" s="103" customFormat="1" ht="18.75" customHeight="1">
      <c r="A8" s="233" t="s">
        <v>89</v>
      </c>
      <c r="B8" s="517">
        <v>90983.05</v>
      </c>
      <c r="C8" s="517">
        <v>90983.05</v>
      </c>
      <c r="D8" s="845">
        <f>75858.38+15124.67</f>
        <v>90983.05</v>
      </c>
      <c r="E8" s="845">
        <v>90982</v>
      </c>
      <c r="F8" s="232">
        <v>83077</v>
      </c>
      <c r="G8" s="391">
        <v>7905</v>
      </c>
      <c r="H8" s="864"/>
    </row>
    <row r="9" spans="1:8" s="103" customFormat="1" ht="18.75" customHeight="1">
      <c r="A9" s="233" t="s">
        <v>329</v>
      </c>
      <c r="B9" s="363">
        <v>40462.18</v>
      </c>
      <c r="C9" s="363">
        <v>40462.18</v>
      </c>
      <c r="D9" s="846">
        <f>24672.6+15244.87</f>
        <v>39917.47</v>
      </c>
      <c r="E9" s="846">
        <v>39917</v>
      </c>
      <c r="F9" s="231">
        <v>26307</v>
      </c>
      <c r="G9" s="392">
        <v>13610</v>
      </c>
      <c r="H9" s="864"/>
    </row>
    <row r="10" spans="1:8" ht="18.75" customHeight="1">
      <c r="A10" s="233" t="s">
        <v>756</v>
      </c>
      <c r="B10" s="363"/>
      <c r="C10" s="363">
        <v>4320</v>
      </c>
      <c r="D10" s="846">
        <f>3979.9+340.1</f>
        <v>4320</v>
      </c>
      <c r="E10" s="846">
        <v>2521</v>
      </c>
      <c r="F10" s="933" t="s">
        <v>656</v>
      </c>
      <c r="G10" s="934"/>
      <c r="H10" s="865"/>
    </row>
    <row r="11" spans="1:8" ht="18.75" customHeight="1">
      <c r="A11" s="233"/>
      <c r="B11" s="363"/>
      <c r="C11" s="846"/>
      <c r="D11" s="846"/>
      <c r="E11" s="363"/>
      <c r="F11" s="231"/>
      <c r="G11" s="392"/>
    </row>
    <row r="12" spans="1:8" ht="18.75" customHeight="1">
      <c r="A12" s="233" t="s">
        <v>757</v>
      </c>
      <c r="B12" s="363"/>
      <c r="C12" s="363"/>
      <c r="D12" s="846"/>
      <c r="E12" s="231">
        <f>(110000*2)+70000</f>
        <v>290000</v>
      </c>
      <c r="F12" s="231"/>
      <c r="G12" s="392"/>
    </row>
    <row r="13" spans="1:8" ht="18.75" customHeight="1" thickBot="1">
      <c r="A13" s="522" t="s">
        <v>569</v>
      </c>
      <c r="B13" s="384">
        <v>1800</v>
      </c>
      <c r="C13" s="384">
        <v>-40462.18</v>
      </c>
      <c r="D13" s="847"/>
      <c r="E13" s="847"/>
      <c r="F13" s="520"/>
      <c r="G13" s="521"/>
    </row>
    <row r="14" spans="1:8" s="103" customFormat="1" ht="18.75" customHeight="1" thickTop="1">
      <c r="A14" s="98" t="s">
        <v>150</v>
      </c>
      <c r="B14" s="518">
        <f t="shared" ref="B14" si="0">SUM(B6:B13)</f>
        <v>133245.23000000001</v>
      </c>
      <c r="C14" s="518">
        <f>SUM(C6:C13)</f>
        <v>95303.050000000017</v>
      </c>
      <c r="D14" s="518">
        <f>SUM(D6:D13)</f>
        <v>135220.52000000002</v>
      </c>
      <c r="E14" s="848">
        <f>SUM(E6:E13)</f>
        <v>423420</v>
      </c>
      <c r="F14" s="515">
        <f>SUM(F6:F13)</f>
        <v>109384</v>
      </c>
      <c r="G14" s="149">
        <f>SUM(G6:G13)</f>
        <v>21515</v>
      </c>
    </row>
    <row r="15" spans="1:8" ht="18.75" customHeight="1">
      <c r="A15" s="107"/>
      <c r="F15" s="931" t="s">
        <v>471</v>
      </c>
      <c r="G15" s="931"/>
    </row>
    <row r="16" spans="1:8" ht="18.75" customHeight="1">
      <c r="A16" s="100" t="s">
        <v>285</v>
      </c>
      <c r="F16" s="932">
        <f>F14+G14</f>
        <v>130899</v>
      </c>
      <c r="G16" s="932"/>
    </row>
    <row r="17" spans="1:1" ht="18.75" customHeight="1">
      <c r="A17" s="100" t="s">
        <v>90</v>
      </c>
    </row>
    <row r="18" spans="1:1" ht="18.75" customHeight="1">
      <c r="A18" s="105" t="s">
        <v>755</v>
      </c>
    </row>
  </sheetData>
  <sortState ref="A14:G15">
    <sortCondition descending="1" ref="A14:A15"/>
  </sortState>
  <mergeCells count="4">
    <mergeCell ref="F3:G3"/>
    <mergeCell ref="F15:G15"/>
    <mergeCell ref="F16:G16"/>
    <mergeCell ref="F10:G10"/>
  </mergeCells>
  <phoneticPr fontId="19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27.28515625" style="107" customWidth="1"/>
    <col min="2" max="2" width="12.28515625" style="27" hidden="1" customWidth="1"/>
    <col min="3" max="6" width="12.28515625" style="27" customWidth="1"/>
    <col min="7" max="16384" width="9.140625" style="27"/>
  </cols>
  <sheetData>
    <row r="1" spans="1:6" s="48" customFormat="1" ht="18" customHeight="1">
      <c r="A1" s="912" t="s">
        <v>707</v>
      </c>
      <c r="B1" s="221"/>
      <c r="C1" s="221"/>
      <c r="D1" s="221"/>
      <c r="E1" s="221"/>
      <c r="F1" s="221"/>
    </row>
    <row r="2" spans="1:6" ht="18" customHeight="1">
      <c r="A2" s="137"/>
      <c r="B2" s="108"/>
      <c r="C2" s="108"/>
      <c r="D2" s="108"/>
      <c r="E2" s="108"/>
      <c r="F2" s="108"/>
    </row>
    <row r="3" spans="1:6" s="48" customFormat="1" ht="18" customHeight="1">
      <c r="A3" s="37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" customHeight="1">
      <c r="A4" s="142"/>
      <c r="B4" s="111"/>
      <c r="C4" s="111"/>
      <c r="D4" s="111"/>
      <c r="E4" s="111"/>
      <c r="F4" s="111"/>
    </row>
    <row r="5" spans="1:6" s="48" customFormat="1" ht="18" customHeight="1">
      <c r="A5" s="37"/>
      <c r="B5" s="43"/>
      <c r="C5" s="43"/>
      <c r="D5" s="43"/>
      <c r="E5" s="43"/>
      <c r="F5" s="43"/>
    </row>
    <row r="6" spans="1:6" ht="18" customHeight="1">
      <c r="A6" s="39" t="s">
        <v>250</v>
      </c>
      <c r="B6" s="44">
        <v>4500</v>
      </c>
      <c r="C6" s="44">
        <v>4000</v>
      </c>
      <c r="D6" s="44">
        <v>3200</v>
      </c>
      <c r="E6" s="44">
        <v>3200</v>
      </c>
      <c r="F6" s="44">
        <f>100*12</f>
        <v>1200</v>
      </c>
    </row>
    <row r="7" spans="1:6" ht="18" customHeight="1">
      <c r="A7" s="651"/>
      <c r="B7" s="44"/>
      <c r="C7" s="44"/>
      <c r="D7" s="44"/>
      <c r="E7" s="44"/>
      <c r="F7" s="44"/>
    </row>
    <row r="8" spans="1:6" ht="18" customHeight="1">
      <c r="A8" s="652"/>
      <c r="B8" s="577"/>
      <c r="C8" s="577"/>
      <c r="D8" s="577"/>
      <c r="E8" s="577"/>
      <c r="F8" s="577"/>
    </row>
    <row r="9" spans="1:6" ht="18" customHeight="1">
      <c r="A9" s="652"/>
      <c r="B9" s="577"/>
      <c r="C9" s="577"/>
      <c r="D9" s="577"/>
      <c r="E9" s="577"/>
      <c r="F9" s="577"/>
    </row>
    <row r="10" spans="1:6" ht="18" customHeight="1" thickBot="1">
      <c r="A10" s="652" t="s">
        <v>569</v>
      </c>
      <c r="B10" s="577">
        <v>-556.55999999999995</v>
      </c>
      <c r="C10" s="577">
        <v>-600</v>
      </c>
      <c r="D10" s="577"/>
      <c r="E10" s="577"/>
      <c r="F10" s="577"/>
    </row>
    <row r="11" spans="1:6" ht="18" customHeight="1" thickTop="1">
      <c r="A11" s="98" t="s">
        <v>150</v>
      </c>
      <c r="B11" s="46">
        <f>SUM(B4:B10)</f>
        <v>3943.44</v>
      </c>
      <c r="C11" s="46">
        <f t="shared" ref="C11:E11" si="0">SUM(C4:C10)</f>
        <v>3400</v>
      </c>
      <c r="D11" s="46">
        <f t="shared" si="0"/>
        <v>3200</v>
      </c>
      <c r="E11" s="46">
        <f t="shared" si="0"/>
        <v>3200</v>
      </c>
      <c r="F11" s="46">
        <f t="shared" ref="F11" si="1">SUM(F4:F10)</f>
        <v>1200</v>
      </c>
    </row>
    <row r="12" spans="1:6" ht="18.75" customHeight="1">
      <c r="B12" s="140"/>
    </row>
    <row r="13" spans="1:6" ht="18.75" customHeight="1">
      <c r="A13" s="17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pane ySplit="3" topLeftCell="A4" activePane="bottomLeft" state="frozen"/>
      <selection pane="bottomLeft" activeCell="F9" sqref="F9:F10"/>
    </sheetView>
  </sheetViews>
  <sheetFormatPr defaultRowHeight="18.75" customHeight="1"/>
  <cols>
    <col min="1" max="1" width="38.42578125" style="107" customWidth="1"/>
    <col min="2" max="2" width="12.28515625" style="27" hidden="1" customWidth="1"/>
    <col min="3" max="6" width="12.28515625" style="27" customWidth="1"/>
    <col min="7" max="16384" width="9.140625" style="27"/>
  </cols>
  <sheetData>
    <row r="1" spans="1:6" s="48" customFormat="1" ht="18.75" customHeight="1">
      <c r="A1" s="912" t="s">
        <v>706</v>
      </c>
      <c r="B1" s="221"/>
      <c r="C1" s="221"/>
      <c r="D1" s="221"/>
      <c r="E1" s="221"/>
      <c r="F1" s="221"/>
    </row>
    <row r="2" spans="1:6" ht="11.25" customHeight="1">
      <c r="A2" s="137"/>
      <c r="B2" s="108"/>
      <c r="C2" s="108"/>
      <c r="D2" s="108"/>
      <c r="E2" s="108"/>
      <c r="F2" s="108"/>
    </row>
    <row r="3" spans="1:6" s="48" customFormat="1" ht="18.75" customHeight="1">
      <c r="A3" s="37" t="s">
        <v>152</v>
      </c>
      <c r="B3" s="43">
        <v>2010</v>
      </c>
      <c r="C3" s="43">
        <v>2012</v>
      </c>
      <c r="D3" s="43">
        <v>2013</v>
      </c>
      <c r="E3" s="43">
        <v>2014</v>
      </c>
      <c r="F3" s="43">
        <v>2015</v>
      </c>
    </row>
    <row r="4" spans="1:6" s="134" customFormat="1" ht="18.75" customHeight="1">
      <c r="A4" s="243"/>
      <c r="B4" s="127"/>
      <c r="C4" s="127"/>
      <c r="D4" s="127"/>
      <c r="E4" s="127"/>
      <c r="F4" s="127"/>
    </row>
    <row r="5" spans="1:6" s="134" customFormat="1" ht="16.5">
      <c r="A5" s="40" t="s">
        <v>93</v>
      </c>
      <c r="B5" s="223">
        <v>1000</v>
      </c>
      <c r="C5" s="223">
        <v>1500</v>
      </c>
      <c r="D5" s="223">
        <v>1500</v>
      </c>
      <c r="E5" s="223">
        <v>1500</v>
      </c>
      <c r="F5" s="223">
        <v>2000</v>
      </c>
    </row>
    <row r="6" spans="1:6" s="134" customFormat="1" ht="19.5" customHeight="1">
      <c r="A6" s="328" t="s">
        <v>655</v>
      </c>
      <c r="B6" s="223">
        <v>13400</v>
      </c>
      <c r="C6" s="223">
        <v>13976.64</v>
      </c>
      <c r="D6" s="223">
        <v>13672.8</v>
      </c>
      <c r="E6" s="223">
        <f>45*25.32*12</f>
        <v>13672.800000000001</v>
      </c>
      <c r="F6" s="223">
        <f>47*25.32*12</f>
        <v>14280.48</v>
      </c>
    </row>
    <row r="7" spans="1:6" s="134" customFormat="1" ht="18.75" customHeight="1">
      <c r="A7" s="40" t="s">
        <v>94</v>
      </c>
      <c r="B7" s="223">
        <v>10500</v>
      </c>
      <c r="C7" s="223">
        <v>13200</v>
      </c>
      <c r="D7" s="223">
        <v>13200</v>
      </c>
      <c r="E7" s="223">
        <f>24*600</f>
        <v>14400</v>
      </c>
      <c r="F7" s="223">
        <f>24*700</f>
        <v>16800</v>
      </c>
    </row>
    <row r="8" spans="1:6" s="134" customFormat="1" ht="18.75" customHeight="1">
      <c r="A8" s="40" t="s">
        <v>94</v>
      </c>
      <c r="B8" s="223">
        <v>10500</v>
      </c>
      <c r="C8" s="223">
        <v>13200</v>
      </c>
      <c r="D8" s="223">
        <v>13200</v>
      </c>
      <c r="E8" s="223">
        <f>24*600</f>
        <v>14400</v>
      </c>
      <c r="F8" s="223">
        <f>24*700</f>
        <v>16800</v>
      </c>
    </row>
    <row r="9" spans="1:6" s="134" customFormat="1" ht="18.75" customHeight="1">
      <c r="A9" s="40" t="s">
        <v>129</v>
      </c>
      <c r="B9" s="59">
        <v>4200</v>
      </c>
      <c r="C9" s="59">
        <v>4704</v>
      </c>
      <c r="D9" s="59">
        <v>4800</v>
      </c>
      <c r="E9" s="59">
        <f>50*11*12</f>
        <v>6600</v>
      </c>
      <c r="F9" s="63">
        <f>50*12*12</f>
        <v>7200</v>
      </c>
    </row>
    <row r="10" spans="1:6" s="134" customFormat="1" ht="18.75" customHeight="1">
      <c r="A10" s="40" t="s">
        <v>95</v>
      </c>
      <c r="B10" s="59">
        <v>1200</v>
      </c>
      <c r="C10" s="59">
        <v>2190</v>
      </c>
      <c r="D10" s="59">
        <v>2200</v>
      </c>
      <c r="E10" s="59">
        <f>11*400</f>
        <v>4400</v>
      </c>
      <c r="F10" s="63">
        <f>12*400</f>
        <v>4800</v>
      </c>
    </row>
    <row r="11" spans="1:6" s="134" customFormat="1" ht="18.75" customHeight="1">
      <c r="A11" s="330" t="s">
        <v>699</v>
      </c>
      <c r="B11" s="332">
        <v>3000</v>
      </c>
      <c r="C11" s="332">
        <v>0</v>
      </c>
      <c r="D11" s="332">
        <v>0</v>
      </c>
      <c r="E11" s="332">
        <v>0</v>
      </c>
      <c r="F11" s="922">
        <v>7000</v>
      </c>
    </row>
    <row r="12" spans="1:6" s="48" customFormat="1" ht="18.75" customHeight="1">
      <c r="A12" s="330" t="s">
        <v>564</v>
      </c>
      <c r="B12" s="59">
        <v>10000</v>
      </c>
      <c r="C12" s="59">
        <v>4000</v>
      </c>
      <c r="D12" s="59">
        <v>2000</v>
      </c>
      <c r="E12" s="59">
        <v>4000</v>
      </c>
      <c r="F12" s="63">
        <v>5000</v>
      </c>
    </row>
    <row r="13" spans="1:6" s="48" customFormat="1" ht="18.75" customHeight="1">
      <c r="A13" s="330" t="s">
        <v>503</v>
      </c>
      <c r="B13" s="59"/>
      <c r="C13" s="59">
        <v>900</v>
      </c>
      <c r="D13" s="59">
        <v>1000</v>
      </c>
      <c r="E13" s="59">
        <v>1000</v>
      </c>
      <c r="F13" s="59">
        <f>600*2</f>
        <v>1200</v>
      </c>
    </row>
    <row r="14" spans="1:6" s="48" customFormat="1" ht="18.75" customHeight="1">
      <c r="A14" s="330" t="s">
        <v>678</v>
      </c>
      <c r="B14" s="59"/>
      <c r="C14" s="59">
        <v>0</v>
      </c>
      <c r="D14" s="59">
        <v>20000</v>
      </c>
      <c r="E14" s="59">
        <v>26000</v>
      </c>
      <c r="F14" s="59">
        <f>6000</f>
        <v>6000</v>
      </c>
    </row>
    <row r="15" spans="1:6" s="48" customFormat="1" ht="18.75" customHeight="1">
      <c r="A15" s="330"/>
      <c r="B15" s="59"/>
      <c r="C15" s="59"/>
      <c r="D15" s="59"/>
      <c r="E15" s="59"/>
      <c r="F15" s="59"/>
    </row>
    <row r="16" spans="1:6" s="48" customFormat="1" ht="18.75" customHeight="1" thickBot="1">
      <c r="A16" s="330" t="s">
        <v>569</v>
      </c>
      <c r="B16" s="59"/>
      <c r="C16" s="59"/>
      <c r="D16" s="59"/>
      <c r="E16" s="59"/>
      <c r="F16" s="59"/>
    </row>
    <row r="17" spans="1:6" s="48" customFormat="1" ht="18.75" customHeight="1" thickTop="1">
      <c r="A17" s="145" t="s">
        <v>150</v>
      </c>
      <c r="B17" s="333">
        <f>SUM(B4:B16)</f>
        <v>53800</v>
      </c>
      <c r="C17" s="333">
        <f>SUM(C4:C16)</f>
        <v>53670.64</v>
      </c>
      <c r="D17" s="333">
        <f>SUM(D4:D16)</f>
        <v>71572.800000000003</v>
      </c>
      <c r="E17" s="333">
        <f>SUM(E4:E16)</f>
        <v>85972.800000000003</v>
      </c>
      <c r="F17" s="333">
        <f>SUM(F4:F16)</f>
        <v>81080.479999999996</v>
      </c>
    </row>
    <row r="18" spans="1:6" s="48" customFormat="1" ht="16.5">
      <c r="A18" s="17"/>
    </row>
    <row r="19" spans="1:6" ht="12.95" customHeight="1">
      <c r="A19" s="17"/>
    </row>
    <row r="20" spans="1:6" ht="12.95" customHeight="1">
      <c r="A20" s="17"/>
    </row>
    <row r="21" spans="1:6" ht="12.95" customHeight="1">
      <c r="A21" s="17"/>
    </row>
    <row r="22" spans="1:6" ht="12.95" customHeight="1">
      <c r="A22" s="17"/>
    </row>
    <row r="23" spans="1:6" s="48" customFormat="1" ht="12.95" customHeight="1">
      <c r="A23" s="17"/>
    </row>
    <row r="24" spans="1:6" ht="12.95" customHeight="1">
      <c r="A24" s="17"/>
    </row>
    <row r="25" spans="1:6" ht="12.95" customHeight="1">
      <c r="A25" s="17"/>
    </row>
    <row r="26" spans="1:6" ht="12.95" customHeight="1">
      <c r="A26" s="17"/>
    </row>
    <row r="27" spans="1:6" ht="12.95" customHeight="1">
      <c r="A27" s="27"/>
    </row>
    <row r="28" spans="1:6" ht="12.95" customHeight="1">
      <c r="A28" s="27"/>
      <c r="B28" s="42"/>
    </row>
    <row r="29" spans="1:6" ht="12.95" customHeight="1">
      <c r="A29" s="27"/>
      <c r="B29" s="42"/>
    </row>
    <row r="30" spans="1:6" ht="12.95" customHeight="1">
      <c r="A30" s="27"/>
      <c r="B30" s="42"/>
    </row>
    <row r="31" spans="1:6" ht="18.75" customHeight="1">
      <c r="A31" s="17"/>
    </row>
    <row r="32" spans="1:6" ht="18.75" customHeight="1">
      <c r="A32" s="17"/>
    </row>
  </sheetData>
  <phoneticPr fontId="19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RowHeight="16.5"/>
  <cols>
    <col min="1" max="1" width="28.85546875" style="121" customWidth="1"/>
    <col min="2" max="2" width="11.7109375" style="121" hidden="1" customWidth="1"/>
    <col min="3" max="4" width="11.7109375" style="121" customWidth="1"/>
    <col min="5" max="6" width="12" style="121" customWidth="1"/>
    <col min="7" max="16384" width="9.140625" style="121"/>
  </cols>
  <sheetData>
    <row r="1" spans="1:6" ht="29.25" customHeight="1">
      <c r="A1" s="912" t="s">
        <v>705</v>
      </c>
      <c r="B1" s="221"/>
      <c r="C1" s="221"/>
      <c r="D1" s="221"/>
      <c r="E1" s="240"/>
      <c r="F1" s="240"/>
    </row>
    <row r="2" spans="1:6">
      <c r="A2" s="137"/>
      <c r="B2" s="108"/>
      <c r="C2" s="108"/>
      <c r="D2" s="108"/>
      <c r="E2" s="51"/>
      <c r="F2" s="51"/>
    </row>
    <row r="3" spans="1:6">
      <c r="A3" s="37" t="s">
        <v>152</v>
      </c>
      <c r="B3" s="43">
        <v>2010</v>
      </c>
      <c r="C3" s="109">
        <v>2012</v>
      </c>
      <c r="D3" s="109">
        <v>2013</v>
      </c>
      <c r="E3" s="109">
        <v>2014</v>
      </c>
      <c r="F3" s="109">
        <v>2015</v>
      </c>
    </row>
    <row r="4" spans="1:6">
      <c r="A4" s="142"/>
      <c r="B4" s="111"/>
      <c r="C4" s="109"/>
      <c r="D4" s="109"/>
      <c r="E4" s="109"/>
      <c r="F4" s="109"/>
    </row>
    <row r="5" spans="1:6">
      <c r="A5" s="136"/>
      <c r="B5" s="108"/>
      <c r="C5" s="129"/>
      <c r="D5" s="129"/>
      <c r="E5" s="129"/>
      <c r="F5" s="129"/>
    </row>
    <row r="6" spans="1:6">
      <c r="A6" s="39" t="s">
        <v>183</v>
      </c>
      <c r="B6" s="44">
        <v>40000</v>
      </c>
      <c r="C6" s="51">
        <v>35000</v>
      </c>
      <c r="D6" s="51">
        <v>40000</v>
      </c>
      <c r="E6" s="854">
        <v>40000</v>
      </c>
      <c r="F6" s="854">
        <v>30000</v>
      </c>
    </row>
    <row r="7" spans="1:6">
      <c r="A7" s="39"/>
      <c r="B7" s="44"/>
      <c r="C7" s="129"/>
      <c r="D7" s="129"/>
      <c r="E7" s="129"/>
      <c r="F7" s="129"/>
    </row>
    <row r="8" spans="1:6" ht="17.25" thickBot="1">
      <c r="A8" s="790" t="s">
        <v>569</v>
      </c>
      <c r="B8" s="386">
        <v>-8500</v>
      </c>
      <c r="C8" s="279"/>
      <c r="D8" s="279"/>
      <c r="E8" s="279"/>
      <c r="F8" s="279"/>
    </row>
    <row r="9" spans="1:6" ht="17.25" thickTop="1">
      <c r="A9" s="98" t="s">
        <v>150</v>
      </c>
      <c r="B9" s="46">
        <f>SUM(B4:B8)</f>
        <v>31500</v>
      </c>
      <c r="C9" s="144">
        <f>SUM(C4:C8)</f>
        <v>35000</v>
      </c>
      <c r="D9" s="144">
        <f>SUM(D4:D8)</f>
        <v>40000</v>
      </c>
      <c r="E9" s="144">
        <f>SUM(E4:E8)</f>
        <v>40000</v>
      </c>
      <c r="F9" s="144">
        <f>SUM(F4:F8)</f>
        <v>30000</v>
      </c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2014-03-19T22:06:44Z</cp:lastPrinted>
  <dcterms:created xsi:type="dcterms:W3CDTF">2002-06-05T21:07:58Z</dcterms:created>
  <dcterms:modified xsi:type="dcterms:W3CDTF">2014-08-26T21:37:54Z</dcterms:modified>
</cp:coreProperties>
</file>